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'Лист1'!$A$1:$L$218</definedName>
    <definedName name="_xlnm.Print_Area" localSheetId="1">'Лист2'!$A$1:$W$240</definedName>
  </definedNames>
  <calcPr fullCalcOnLoad="1"/>
</workbook>
</file>

<file path=xl/sharedStrings.xml><?xml version="1.0" encoding="utf-8"?>
<sst xmlns="http://schemas.openxmlformats.org/spreadsheetml/2006/main" count="1625" uniqueCount="583">
  <si>
    <t>Жил/д Советская -2</t>
  </si>
  <si>
    <t>Жил/д Советская-3</t>
  </si>
  <si>
    <t>жил/д Советская-4</t>
  </si>
  <si>
    <t>жил/дСоветская - 5</t>
  </si>
  <si>
    <t>Жил/д Советская-6</t>
  </si>
  <si>
    <t>Жил/д Советская-7</t>
  </si>
  <si>
    <t>Жил/д Советская-8</t>
  </si>
  <si>
    <t>Жил/д Советская-10</t>
  </si>
  <si>
    <t>Жил/д Советская-12</t>
  </si>
  <si>
    <t>Жил/д Советская-13</t>
  </si>
  <si>
    <t>Жил/д Советская-15</t>
  </si>
  <si>
    <t>Жил/д Советская-16</t>
  </si>
  <si>
    <t>Жил/д Советская-17</t>
  </si>
  <si>
    <t>Жил/д Советская-19</t>
  </si>
  <si>
    <t>Жил/д Советская-21</t>
  </si>
  <si>
    <t>Жил/д Советская-22</t>
  </si>
  <si>
    <t>Жил/д Советская-23</t>
  </si>
  <si>
    <t>Жил/д Гагарина-1</t>
  </si>
  <si>
    <t>Жил/д Гагарина-2</t>
  </si>
  <si>
    <t>Жил/д Гагарина-4</t>
  </si>
  <si>
    <t>Жил/д Гагарина-5</t>
  </si>
  <si>
    <t>Жил/д Гагарина-6</t>
  </si>
  <si>
    <t>Жил/д Гагарина-8</t>
  </si>
  <si>
    <t>Жил/д Гагарина-9</t>
  </si>
  <si>
    <t>Жил/д Гагарина-12</t>
  </si>
  <si>
    <t>Жил/д Гагарина-13</t>
  </si>
  <si>
    <t>Жил/д Гагарина-14</t>
  </si>
  <si>
    <t>Жил/д Гагарина-15</t>
  </si>
  <si>
    <t>Жил/д Гагарина-16</t>
  </si>
  <si>
    <t>Жил/д Гагарина-17</t>
  </si>
  <si>
    <t>Жил/д Гагарина-18</t>
  </si>
  <si>
    <t>Жил/д Гагарина-20</t>
  </si>
  <si>
    <t>Жил/д Терешкова-1</t>
  </si>
  <si>
    <t>Жил/д Терешкова-2</t>
  </si>
  <si>
    <t>Жил/д Терешкова-3</t>
  </si>
  <si>
    <t>Жил/д Терешкова-4</t>
  </si>
  <si>
    <t>жил/д Терешкова-5</t>
  </si>
  <si>
    <t>Жил/д Терешкова-6</t>
  </si>
  <si>
    <t>Жил/д Терешкова -7</t>
  </si>
  <si>
    <t>Жил/д Терешков-10</t>
  </si>
  <si>
    <t>Жил/д Терешков-11</t>
  </si>
  <si>
    <t>Жил/д Терешков-14</t>
  </si>
  <si>
    <t>Жил/д Терешков-15</t>
  </si>
  <si>
    <t>Жил/д Терешков-17</t>
  </si>
  <si>
    <t>Жил/д Терешков-19</t>
  </si>
  <si>
    <t>Жил/д Таежная-1</t>
  </si>
  <si>
    <t>Жил/д Таежная-2</t>
  </si>
  <si>
    <t>Жил/д Таежная-3</t>
  </si>
  <si>
    <t>Жил/д Таежная -4</t>
  </si>
  <si>
    <t>Жил/д Таежная -5</t>
  </si>
  <si>
    <t>Жил/д Таежная -6</t>
  </si>
  <si>
    <t>Жил/д Таежная-7</t>
  </si>
  <si>
    <t>Жил/д Таежная-8</t>
  </si>
  <si>
    <t>Жил/д Таежная-9</t>
  </si>
  <si>
    <t>Жил/д Таежная-10</t>
  </si>
  <si>
    <t>Жил/д Таежная-11</t>
  </si>
  <si>
    <t>Жил/д Таежная -13</t>
  </si>
  <si>
    <t>Жил/д Таежная -14</t>
  </si>
  <si>
    <t>Жил/д Таежная -16</t>
  </si>
  <si>
    <t>Жил/д Таежная-18</t>
  </si>
  <si>
    <t>Жил/д Таежная-19</t>
  </si>
  <si>
    <t>Жил/д Таежная-21</t>
  </si>
  <si>
    <t>Жил/д Декабрист-1</t>
  </si>
  <si>
    <t>Жил/д Декабрист-2</t>
  </si>
  <si>
    <t>Жил/д Декабрист-3</t>
  </si>
  <si>
    <t>Жил/д Декабрист-4</t>
  </si>
  <si>
    <t>Жил/д Декабрист-5</t>
  </si>
  <si>
    <t>Жил/д Декабрист-6</t>
  </si>
  <si>
    <t>Жил/д Декабрист-8</t>
  </si>
  <si>
    <t>Жил/д Декабрист-10</t>
  </si>
  <si>
    <t>Жил/д Декабрист-11</t>
  </si>
  <si>
    <t>Жил/д Декабрист-13</t>
  </si>
  <si>
    <t>Жил/д Декабрист-15</t>
  </si>
  <si>
    <t>Жил/д Декабрист-16</t>
  </si>
  <si>
    <t>Жил/д Декабрист-17</t>
  </si>
  <si>
    <t>Жил/д Декабрист-18</t>
  </si>
  <si>
    <t>Жил/д Декабрист-19</t>
  </si>
  <si>
    <t>Жил/д Декабрист-20</t>
  </si>
  <si>
    <t>Жил/д Декабрист-21</t>
  </si>
  <si>
    <t>Жил/д Зеленая-1</t>
  </si>
  <si>
    <t>Жил/д Зеленая-3</t>
  </si>
  <si>
    <t>Жил/д Зеленая-5</t>
  </si>
  <si>
    <t>Жил/д Зеленая-7</t>
  </si>
  <si>
    <t>Жил/д Зеленая-8</t>
  </si>
  <si>
    <t>Жил/д Зеленая-9</t>
  </si>
  <si>
    <t>Жил/д Зеленая-10</t>
  </si>
  <si>
    <t>Жил/д Зеленая-11</t>
  </si>
  <si>
    <t>Жил/д Зеленая-12</t>
  </si>
  <si>
    <t>Жил/д Зеленая-13</t>
  </si>
  <si>
    <t>Жил/д Зеленая-15</t>
  </si>
  <si>
    <t>Жил/д Зеленая-17</t>
  </si>
  <si>
    <t>Жил/д Зеленая-19</t>
  </si>
  <si>
    <t>Жил/д Зеленая-21</t>
  </si>
  <si>
    <t>Жил/д Павлюка-1</t>
  </si>
  <si>
    <t>Жил/д Павлюка-3</t>
  </si>
  <si>
    <t>Жил/д Павлюка-5</t>
  </si>
  <si>
    <t>Жил/д Павлюка-8</t>
  </si>
  <si>
    <t>Жил/д Павлюка-9</t>
  </si>
  <si>
    <t>Жил/д Павлюка-11</t>
  </si>
  <si>
    <t>Жил/д Первомай-1</t>
  </si>
  <si>
    <t>Жил/д Первомай-3</t>
  </si>
  <si>
    <t>Жил/д Первомай-5</t>
  </si>
  <si>
    <t>Жил/д Первомай-7</t>
  </si>
  <si>
    <t>Жил/д Первомай-9</t>
  </si>
  <si>
    <t>Жил/д Первомай-11</t>
  </si>
  <si>
    <t>Жил/д Первомай-13</t>
  </si>
  <si>
    <t>Жил/д Первомай-15</t>
  </si>
  <si>
    <t>Жил/д Спартака-1</t>
  </si>
  <si>
    <t>Жил/д Спартака-2</t>
  </si>
  <si>
    <t>Жил/д Спартака-3</t>
  </si>
  <si>
    <t>Жил/д Спартака-5</t>
  </si>
  <si>
    <t>Жил/д Спартака-7</t>
  </si>
  <si>
    <t>Жил/д Поселков-7</t>
  </si>
  <si>
    <t>Жил/д Поселков-16</t>
  </si>
  <si>
    <t>Жил/д Зеленая-14</t>
  </si>
  <si>
    <t xml:space="preserve">балансовая </t>
  </si>
  <si>
    <t>стоимость</t>
  </si>
  <si>
    <t>коэф</t>
  </si>
  <si>
    <t>переоц.</t>
  </si>
  <si>
    <t>год</t>
  </si>
  <si>
    <t>ввода</t>
  </si>
  <si>
    <t>Жил/д Таежная-</t>
  </si>
  <si>
    <t>Жил/д Павлюка-</t>
  </si>
  <si>
    <t>Жил\д Гагарина-3</t>
  </si>
  <si>
    <t>Жил\дом Центральная</t>
  </si>
  <si>
    <t>Жил\дом Ключевая</t>
  </si>
  <si>
    <t>%</t>
  </si>
  <si>
    <t>Проммаг.Спартака</t>
  </si>
  <si>
    <t>Здание столовой</t>
  </si>
  <si>
    <t>Казарма (здан. школы)</t>
  </si>
  <si>
    <t xml:space="preserve">                   переоценки стоимости зданий и сооружений </t>
  </si>
  <si>
    <t>сумма</t>
  </si>
  <si>
    <t>дооценки</t>
  </si>
  <si>
    <t>от первоначальной стоимости</t>
  </si>
  <si>
    <t>с переоц на 01.01.03г.</t>
  </si>
  <si>
    <t>на 01.01.07</t>
  </si>
  <si>
    <t>В Е Д О М О С Т Ь      № 1</t>
  </si>
  <si>
    <t>Учреждение</t>
  </si>
  <si>
    <t>Структурное подразделение</t>
  </si>
  <si>
    <r>
      <t xml:space="preserve">Вид  нефинансового актива        </t>
    </r>
    <r>
      <rPr>
        <b/>
        <sz val="12"/>
        <rFont val="Arial Cyr"/>
        <family val="0"/>
      </rPr>
      <t>жилые помещения, нежилые помещения</t>
    </r>
  </si>
  <si>
    <r>
      <t xml:space="preserve">Вид деятельности                         </t>
    </r>
    <r>
      <rPr>
        <b/>
        <sz val="12"/>
        <rFont val="Arial Cyr"/>
        <family val="0"/>
      </rPr>
      <t>бюджетная деятельность</t>
    </r>
  </si>
  <si>
    <t>Наименование</t>
  </si>
  <si>
    <t>объекта</t>
  </si>
  <si>
    <t>Код по ОКОФ</t>
  </si>
  <si>
    <t>номер</t>
  </si>
  <si>
    <t xml:space="preserve">Инвентарный </t>
  </si>
  <si>
    <t>до переоцен</t>
  </si>
  <si>
    <t>коэффициент</t>
  </si>
  <si>
    <t>переоценки</t>
  </si>
  <si>
    <t>после переоценки</t>
  </si>
  <si>
    <t xml:space="preserve">            на 01.01.2007 г.</t>
  </si>
  <si>
    <t xml:space="preserve">          МО Тиличетский сельсовет</t>
  </si>
  <si>
    <t>.01010002</t>
  </si>
  <si>
    <t>.01010001</t>
  </si>
  <si>
    <t>ИТОГО жилые дома</t>
  </si>
  <si>
    <t>Итого нежилые помещен</t>
  </si>
  <si>
    <t>ВСЕГО</t>
  </si>
  <si>
    <t>.01020001</t>
  </si>
  <si>
    <t>.01020002</t>
  </si>
  <si>
    <t>.01020003</t>
  </si>
  <si>
    <t>.01020004</t>
  </si>
  <si>
    <t>.01020010</t>
  </si>
  <si>
    <t>.01020005</t>
  </si>
  <si>
    <t>.01020006</t>
  </si>
  <si>
    <t>.01020007</t>
  </si>
  <si>
    <t>.01020008</t>
  </si>
  <si>
    <t>.01020009</t>
  </si>
  <si>
    <t>.01020012</t>
  </si>
  <si>
    <t>.01020013</t>
  </si>
  <si>
    <t>.01020014</t>
  </si>
  <si>
    <t>.01020016</t>
  </si>
  <si>
    <t>.01020017</t>
  </si>
  <si>
    <t>.01020020</t>
  </si>
  <si>
    <t>.01020021</t>
  </si>
  <si>
    <t>.01020022</t>
  </si>
  <si>
    <t>.01020023</t>
  </si>
  <si>
    <t>.01020024</t>
  </si>
  <si>
    <t>.01020025</t>
  </si>
  <si>
    <t>.01020026</t>
  </si>
  <si>
    <t>.01020029</t>
  </si>
  <si>
    <t>.01020030</t>
  </si>
  <si>
    <t>.01020032</t>
  </si>
  <si>
    <t>.01020033</t>
  </si>
  <si>
    <t>.01020034</t>
  </si>
  <si>
    <t>.01020036</t>
  </si>
  <si>
    <t>.01020037</t>
  </si>
  <si>
    <t>.01020038</t>
  </si>
  <si>
    <t>.01020040</t>
  </si>
  <si>
    <t>.01020041</t>
  </si>
  <si>
    <t>.01020042</t>
  </si>
  <si>
    <t>.01020043</t>
  </si>
  <si>
    <t>.01020044</t>
  </si>
  <si>
    <t>.01020046</t>
  </si>
  <si>
    <t>.01020047</t>
  </si>
  <si>
    <t>.01020049</t>
  </si>
  <si>
    <t>.01020050</t>
  </si>
  <si>
    <t>.01020052</t>
  </si>
  <si>
    <t>.01020053</t>
  </si>
  <si>
    <t>.01020054</t>
  </si>
  <si>
    <t>.01020055</t>
  </si>
  <si>
    <t>.01020056</t>
  </si>
  <si>
    <t>.01020057</t>
  </si>
  <si>
    <t>.01020058</t>
  </si>
  <si>
    <t>.01020059</t>
  </si>
  <si>
    <t>.01020060</t>
  </si>
  <si>
    <t>.01020061</t>
  </si>
  <si>
    <t>.01020062</t>
  </si>
  <si>
    <t>.01020063</t>
  </si>
  <si>
    <t>.01020064</t>
  </si>
  <si>
    <t>.01020065</t>
  </si>
  <si>
    <t>.01020066</t>
  </si>
  <si>
    <t>.01020067</t>
  </si>
  <si>
    <t>.01020068</t>
  </si>
  <si>
    <t>.01020069</t>
  </si>
  <si>
    <t>.01020070</t>
  </si>
  <si>
    <t>.01020072</t>
  </si>
  <si>
    <t>.01020073</t>
  </si>
  <si>
    <t>.01020075</t>
  </si>
  <si>
    <t>.01020077</t>
  </si>
  <si>
    <t>.01020078</t>
  </si>
  <si>
    <t>.01020079</t>
  </si>
  <si>
    <t>.01020080</t>
  </si>
  <si>
    <t>.01020082</t>
  </si>
  <si>
    <t>.01020083</t>
  </si>
  <si>
    <t>.01020084</t>
  </si>
  <si>
    <t>.01020085</t>
  </si>
  <si>
    <t>.01020087</t>
  </si>
  <si>
    <t>.01020088</t>
  </si>
  <si>
    <t>.01020089</t>
  </si>
  <si>
    <t>.01020091</t>
  </si>
  <si>
    <t>.01020092</t>
  </si>
  <si>
    <t>.01020094</t>
  </si>
  <si>
    <t>.01020093</t>
  </si>
  <si>
    <t>.01020095</t>
  </si>
  <si>
    <t>.01020096</t>
  </si>
  <si>
    <t>.01020097</t>
  </si>
  <si>
    <t>.01020098</t>
  </si>
  <si>
    <t>.01020099</t>
  </si>
  <si>
    <t>.01020100</t>
  </si>
  <si>
    <t>.01020102</t>
  </si>
  <si>
    <t>.01020104</t>
  </si>
  <si>
    <t>.01020105</t>
  </si>
  <si>
    <t>.01020106</t>
  </si>
  <si>
    <t>.01020107</t>
  </si>
  <si>
    <t>.01020108</t>
  </si>
  <si>
    <t>.01020109</t>
  </si>
  <si>
    <t>.01020111</t>
  </si>
  <si>
    <t>.01020112</t>
  </si>
  <si>
    <t>.01020113</t>
  </si>
  <si>
    <t>.01020114</t>
  </si>
  <si>
    <t>.01020115</t>
  </si>
  <si>
    <t>.01020116</t>
  </si>
  <si>
    <t>.01020117</t>
  </si>
  <si>
    <t>.01020118</t>
  </si>
  <si>
    <t>.01020119</t>
  </si>
  <si>
    <t>.01020120</t>
  </si>
  <si>
    <t>.01020121</t>
  </si>
  <si>
    <t>.01020122</t>
  </si>
  <si>
    <t>.01020123</t>
  </si>
  <si>
    <t>.01020124</t>
  </si>
  <si>
    <t>.01020126</t>
  </si>
  <si>
    <t>.01020127</t>
  </si>
  <si>
    <t>.01020128</t>
  </si>
  <si>
    <t>.01020129</t>
  </si>
  <si>
    <t>.01020130</t>
  </si>
  <si>
    <t>.01020131</t>
  </si>
  <si>
    <t>.01020132</t>
  </si>
  <si>
    <t>Главный бухгалтер _______________________  Г.И.Царенко</t>
  </si>
  <si>
    <t>и на 01.01.2007г.</t>
  </si>
  <si>
    <t xml:space="preserve">В Е Д О М О С Т Ь </t>
  </si>
  <si>
    <t>за год</t>
  </si>
  <si>
    <t>за мес</t>
  </si>
  <si>
    <t xml:space="preserve">   ИЗНОС</t>
  </si>
  <si>
    <t>первонач</t>
  </si>
  <si>
    <t>балансовый</t>
  </si>
  <si>
    <t>счет</t>
  </si>
  <si>
    <t>наименование</t>
  </si>
  <si>
    <t>балансовая</t>
  </si>
  <si>
    <t>ИТОГО</t>
  </si>
  <si>
    <t>ИЗНОСА</t>
  </si>
  <si>
    <t>Оборот в главную книгу</t>
  </si>
  <si>
    <t>Исполнитель  _________________________  И.Н.Курчак</t>
  </si>
  <si>
    <t>Жил/д Станционная-1</t>
  </si>
  <si>
    <t>начислен</t>
  </si>
  <si>
    <t>износ</t>
  </si>
  <si>
    <t>Остаточная</t>
  </si>
  <si>
    <t xml:space="preserve">стоимость </t>
  </si>
  <si>
    <t xml:space="preserve">  З  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</si>
  <si>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</si>
  <si>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</si>
  <si>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</si>
  <si>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</si>
  <si>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</si>
  <si>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</si>
  <si>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</si>
  <si>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</si>
  <si>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</si>
  <si>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</si>
  <si>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</si>
  <si>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</si>
  <si>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    А    Ч    И    С    Л    Е    Н            И    З    Н    О    С   </t>
  </si>
  <si>
    <t xml:space="preserve">Остаточная </t>
  </si>
  <si>
    <t>В Е Д О М О С Т Ь</t>
  </si>
  <si>
    <t xml:space="preserve">  МО        Тиличетский  сельсовет</t>
  </si>
  <si>
    <t xml:space="preserve"> СУММА</t>
  </si>
  <si>
    <t>Емкость</t>
  </si>
  <si>
    <r>
      <t xml:space="preserve">Эл.двигатель </t>
    </r>
    <r>
      <rPr>
        <sz val="10"/>
        <rFont val="Arial Cyr"/>
        <family val="0"/>
      </rPr>
      <t>4АМ-250S6</t>
    </r>
  </si>
  <si>
    <t>Котел отопительный</t>
  </si>
  <si>
    <t>Копир XEROX</t>
  </si>
  <si>
    <t>Компьютер</t>
  </si>
  <si>
    <t>Системный блок</t>
  </si>
  <si>
    <t>Монитор</t>
  </si>
  <si>
    <t>Принтер XEROX</t>
  </si>
  <si>
    <t>Принтер Canon</t>
  </si>
  <si>
    <t>Муз.центр PHILIPS</t>
  </si>
  <si>
    <t>Муз.центр LG с караоке</t>
  </si>
  <si>
    <t>Телевизор AKAI</t>
  </si>
  <si>
    <t>Цветомузыка Euro DJ Mini</t>
  </si>
  <si>
    <t xml:space="preserve">ИТОГО </t>
  </si>
  <si>
    <t>Год</t>
  </si>
  <si>
    <t>с переоценкой</t>
  </si>
  <si>
    <t>Вид  нефинансового актива        машины и оборудование</t>
  </si>
  <si>
    <t>УАЗ-43204</t>
  </si>
  <si>
    <t>Трактор МТЗ-80</t>
  </si>
  <si>
    <r>
      <t xml:space="preserve">Вид  нефинансового актива       </t>
    </r>
    <r>
      <rPr>
        <b/>
        <sz val="12"/>
        <rFont val="Arial Cyr"/>
        <family val="0"/>
      </rPr>
      <t xml:space="preserve">   транспорт</t>
    </r>
  </si>
  <si>
    <t>Насос К-100-80-160 с эл.двиг.</t>
  </si>
  <si>
    <t>Насос К-100-80-160</t>
  </si>
  <si>
    <t xml:space="preserve">  Администрация Тиличетского  сельсовета</t>
  </si>
  <si>
    <t xml:space="preserve"> Администрация Тиличетского  сельсовета</t>
  </si>
  <si>
    <t>начисления износа за март 2008 года</t>
  </si>
  <si>
    <t>Жил/д Таежная-12</t>
  </si>
  <si>
    <t>на 01.01.2010</t>
  </si>
  <si>
    <t>Советская -2</t>
  </si>
  <si>
    <t>жил/дом</t>
  </si>
  <si>
    <t>название</t>
  </si>
  <si>
    <t xml:space="preserve"> Советская-3</t>
  </si>
  <si>
    <t xml:space="preserve"> Советская-4</t>
  </si>
  <si>
    <t>Советская - 5</t>
  </si>
  <si>
    <t xml:space="preserve"> Советская-6</t>
  </si>
  <si>
    <t xml:space="preserve"> Советская-7</t>
  </si>
  <si>
    <t xml:space="preserve"> Советская-8</t>
  </si>
  <si>
    <t xml:space="preserve"> Советская-12</t>
  </si>
  <si>
    <t xml:space="preserve"> Советская-15</t>
  </si>
  <si>
    <t xml:space="preserve"> Советская-16</t>
  </si>
  <si>
    <t xml:space="preserve"> Советская-17</t>
  </si>
  <si>
    <t xml:space="preserve"> Советская-21</t>
  </si>
  <si>
    <t xml:space="preserve"> Гагарина-1</t>
  </si>
  <si>
    <t xml:space="preserve"> Гагарина-4</t>
  </si>
  <si>
    <t>Гагарина-5</t>
  </si>
  <si>
    <t xml:space="preserve"> Гагарина-6</t>
  </si>
  <si>
    <t xml:space="preserve"> Гагарина-8</t>
  </si>
  <si>
    <t xml:space="preserve"> Гагарина-9</t>
  </si>
  <si>
    <t xml:space="preserve"> Гагарина-14</t>
  </si>
  <si>
    <t xml:space="preserve"> Гагарина-16</t>
  </si>
  <si>
    <t xml:space="preserve"> Гагарина-17</t>
  </si>
  <si>
    <t xml:space="preserve"> Гагарина-18</t>
  </si>
  <si>
    <t xml:space="preserve"> Гагарина-20</t>
  </si>
  <si>
    <t xml:space="preserve"> Терешкова-1</t>
  </si>
  <si>
    <t>Терешкова-3</t>
  </si>
  <si>
    <t>Терешкова-4</t>
  </si>
  <si>
    <t>Терешкова-5</t>
  </si>
  <si>
    <t xml:space="preserve"> Терешкова-6</t>
  </si>
  <si>
    <t xml:space="preserve"> Терешкова -7</t>
  </si>
  <si>
    <t xml:space="preserve"> Терешкова-10</t>
  </si>
  <si>
    <t xml:space="preserve"> Терешкова-11</t>
  </si>
  <si>
    <t xml:space="preserve"> Терешкова-14</t>
  </si>
  <si>
    <t>Терешкова-15</t>
  </si>
  <si>
    <t xml:space="preserve"> Терешкова-17</t>
  </si>
  <si>
    <t xml:space="preserve"> Терешкова-19</t>
  </si>
  <si>
    <t xml:space="preserve"> Таежная-1</t>
  </si>
  <si>
    <t xml:space="preserve"> Таежная-2</t>
  </si>
  <si>
    <t xml:space="preserve"> Таежная-3</t>
  </si>
  <si>
    <t xml:space="preserve"> Таежная -4</t>
  </si>
  <si>
    <t xml:space="preserve"> Таежная -5</t>
  </si>
  <si>
    <t xml:space="preserve"> Таежная -6</t>
  </si>
  <si>
    <t xml:space="preserve"> Таежная-10</t>
  </si>
  <si>
    <t xml:space="preserve"> Таежная-9</t>
  </si>
  <si>
    <t>Таежная-12</t>
  </si>
  <si>
    <t>Таежная-11</t>
  </si>
  <si>
    <t xml:space="preserve"> Таежная -13</t>
  </si>
  <si>
    <t xml:space="preserve"> Таежная -14</t>
  </si>
  <si>
    <t>Таежная -16</t>
  </si>
  <si>
    <t xml:space="preserve"> Таежная-21</t>
  </si>
  <si>
    <t xml:space="preserve"> Декабрист-1</t>
  </si>
  <si>
    <t xml:space="preserve"> Декабрист-2</t>
  </si>
  <si>
    <t>Декабрист-4</t>
  </si>
  <si>
    <t xml:space="preserve"> Декабрист-6</t>
  </si>
  <si>
    <t xml:space="preserve"> Декабрист-8</t>
  </si>
  <si>
    <t xml:space="preserve"> Декабрист-10</t>
  </si>
  <si>
    <t xml:space="preserve"> Декабрист-11</t>
  </si>
  <si>
    <t xml:space="preserve"> Декабрист-15</t>
  </si>
  <si>
    <t xml:space="preserve"> Декабрист-16</t>
  </si>
  <si>
    <t xml:space="preserve"> Декабрист-17</t>
  </si>
  <si>
    <t xml:space="preserve"> Декабрист-19</t>
  </si>
  <si>
    <t xml:space="preserve"> Декабрист-20</t>
  </si>
  <si>
    <t xml:space="preserve"> Декабрист-21</t>
  </si>
  <si>
    <t xml:space="preserve"> Зеленая-1</t>
  </si>
  <si>
    <t xml:space="preserve"> Зеленая-3</t>
  </si>
  <si>
    <t xml:space="preserve"> Зеленая-5</t>
  </si>
  <si>
    <t xml:space="preserve"> Зеленая-7</t>
  </si>
  <si>
    <t xml:space="preserve"> Зеленая-8</t>
  </si>
  <si>
    <t xml:space="preserve"> Зеленая-9</t>
  </si>
  <si>
    <t xml:space="preserve"> Зеленая-10</t>
  </si>
  <si>
    <t xml:space="preserve"> Зеленая-11</t>
  </si>
  <si>
    <t xml:space="preserve"> Зеленая-13</t>
  </si>
  <si>
    <t xml:space="preserve"> Зеленая-17</t>
  </si>
  <si>
    <t xml:space="preserve"> Зеленая-21</t>
  </si>
  <si>
    <t xml:space="preserve"> Павлюка-3</t>
  </si>
  <si>
    <t>Павлюка-1</t>
  </si>
  <si>
    <t>Павлюка-5</t>
  </si>
  <si>
    <t xml:space="preserve"> Павлюка-11</t>
  </si>
  <si>
    <t xml:space="preserve"> Первомай-1</t>
  </si>
  <si>
    <t xml:space="preserve"> Первомай-3</t>
  </si>
  <si>
    <t xml:space="preserve"> Первомай-5</t>
  </si>
  <si>
    <t>Первомай-7</t>
  </si>
  <si>
    <t>Первомай-9</t>
  </si>
  <si>
    <t xml:space="preserve"> Первомай-11</t>
  </si>
  <si>
    <t>Первомай-13</t>
  </si>
  <si>
    <t>Первомай-15</t>
  </si>
  <si>
    <t xml:space="preserve"> Спартака-1</t>
  </si>
  <si>
    <t>Поселков-7</t>
  </si>
  <si>
    <t>адрес объекта</t>
  </si>
  <si>
    <t xml:space="preserve">год ввода в </t>
  </si>
  <si>
    <t>эксплуат</t>
  </si>
  <si>
    <t xml:space="preserve">общая </t>
  </si>
  <si>
    <t>площадь</t>
  </si>
  <si>
    <t xml:space="preserve"> Павлюка-13</t>
  </si>
  <si>
    <t xml:space="preserve"> Павлюка-15</t>
  </si>
  <si>
    <t>дата рег.</t>
  </si>
  <si>
    <t>права</t>
  </si>
  <si>
    <t>мун.обр</t>
  </si>
  <si>
    <t>материал</t>
  </si>
  <si>
    <t>перекрыт</t>
  </si>
  <si>
    <t>стен</t>
  </si>
  <si>
    <t>деревян</t>
  </si>
  <si>
    <t>наименов.</t>
  </si>
  <si>
    <t>юр.лица</t>
  </si>
  <si>
    <t>правообл.объек</t>
  </si>
  <si>
    <t>Адм.Тиличет./с</t>
  </si>
  <si>
    <t>адрес</t>
  </si>
  <si>
    <t>п.Тиличеть</t>
  </si>
  <si>
    <t>Главный бухгалтер                                           Царенко Г.И</t>
  </si>
  <si>
    <t>Главный бухгалтер                                Царенко Г.И</t>
  </si>
  <si>
    <t>здание почты и п/совета</t>
  </si>
  <si>
    <t>Артезианская скважина</t>
  </si>
  <si>
    <t>Пожарное депо</t>
  </si>
  <si>
    <t xml:space="preserve">Прод. Магазин (ул. Гагарина) </t>
  </si>
  <si>
    <t>Котельная школы</t>
  </si>
  <si>
    <t>Котельная администрации</t>
  </si>
  <si>
    <t>начисления износа за октябрь 2013 года</t>
  </si>
  <si>
    <t>Мост через реку Пойма</t>
  </si>
  <si>
    <t xml:space="preserve">Автомобильная дорога </t>
  </si>
  <si>
    <t>Автомобильная дорога</t>
  </si>
  <si>
    <t>трансформаторные</t>
  </si>
  <si>
    <t>подстанции</t>
  </si>
  <si>
    <t>воздушные линии 10квт</t>
  </si>
  <si>
    <t>кабельные линии 10квт</t>
  </si>
  <si>
    <t>воздушные линии 0.4квт</t>
  </si>
  <si>
    <t>кабельные линии 0.4квт</t>
  </si>
  <si>
    <t xml:space="preserve">Прод. Магазин (ул. Гаг) </t>
  </si>
  <si>
    <t>Котельная админ</t>
  </si>
  <si>
    <t>Жил/д Станционная</t>
  </si>
  <si>
    <t>.2007</t>
  </si>
  <si>
    <t>.1905</t>
  </si>
  <si>
    <t>сведения о</t>
  </si>
  <si>
    <t>правообладателе</t>
  </si>
  <si>
    <t>(балансодержателе)</t>
  </si>
  <si>
    <t>Перечень объектов жилого фонда</t>
  </si>
  <si>
    <t>Здание почты и сельсовета</t>
  </si>
  <si>
    <t>п.Тиличеть ул. Таежная,8</t>
  </si>
  <si>
    <t>адм. Тиличет/с</t>
  </si>
  <si>
    <t>п. Тиличеть ул. Строительная</t>
  </si>
  <si>
    <t>Прод. Магазин</t>
  </si>
  <si>
    <t>п.Тиличеть ул. Гагарина,13</t>
  </si>
  <si>
    <t>Котельная (админ)</t>
  </si>
  <si>
    <t>п.Тиличеть ул. Таежная</t>
  </si>
  <si>
    <t>п. Тиличеть ул. Центральная</t>
  </si>
  <si>
    <t>63,3м</t>
  </si>
  <si>
    <t>жел/конст</t>
  </si>
  <si>
    <t>3,45 км</t>
  </si>
  <si>
    <t>грунтовая</t>
  </si>
  <si>
    <t>Жил/д Терешковой-1</t>
  </si>
  <si>
    <t>Жил/д Терешковой-3</t>
  </si>
  <si>
    <t>Жил/д Терешковой-4</t>
  </si>
  <si>
    <t>жил/д Терешковой-5</t>
  </si>
  <si>
    <t>Жил/д Терешковой-6</t>
  </si>
  <si>
    <t>Жил/д Терешковой -7</t>
  </si>
  <si>
    <t>Жил/д Терешковой-10</t>
  </si>
  <si>
    <t>Жил/д Терешковаой11</t>
  </si>
  <si>
    <t>Жил/д Терешковой-14</t>
  </si>
  <si>
    <t>Жил/д Терешковой-15</t>
  </si>
  <si>
    <t>Жил/д Терешковой-17</t>
  </si>
  <si>
    <t>Жил/д Терешковой-19</t>
  </si>
  <si>
    <t>подстанции 4 ед</t>
  </si>
  <si>
    <t>воздушные линии 10квт 32,300п. Км</t>
  </si>
  <si>
    <t>протяж. 32,300 п. км</t>
  </si>
  <si>
    <t>протяж. 0,120 п. км</t>
  </si>
  <si>
    <t>протяж. 16,265 п. км</t>
  </si>
  <si>
    <t>протяж. 0,401 п. км</t>
  </si>
  <si>
    <t>2   0   15    Г  О  Д</t>
  </si>
  <si>
    <t>на 01.01.2016г.</t>
  </si>
  <si>
    <t>п. Тиличеть ул. Лесная</t>
  </si>
  <si>
    <t>начисления износа ОС  за   2015 год</t>
  </si>
  <si>
    <t>2   0   15  Г  О  Д</t>
  </si>
  <si>
    <t>на 01.01.2016</t>
  </si>
  <si>
    <t>Администрация Тиличетского сельсовета Нижнеингашского района Красноярского края</t>
  </si>
  <si>
    <t>Муниципального имущества администрации Тиличетского сельслвета Нижнеингашского района Красноярского края</t>
  </si>
  <si>
    <t>на 01.01.2016г</t>
  </si>
  <si>
    <t>Проммагазин (Зеленая)</t>
  </si>
  <si>
    <t>п. Тиличеть ул. Зеленая</t>
  </si>
  <si>
    <t xml:space="preserve">Перечень объектов недвижимости имущества </t>
  </si>
  <si>
    <t>на 31.12.2015</t>
  </si>
  <si>
    <t>на 01.01.2017г.</t>
  </si>
  <si>
    <t>2   0   1 6  Г  О  Д</t>
  </si>
  <si>
    <t>Жил/д Павлюка-13</t>
  </si>
  <si>
    <t>Жил/д Павлюка-15</t>
  </si>
  <si>
    <t>на 01.01.16</t>
  </si>
  <si>
    <t>Трактор Т-4</t>
  </si>
  <si>
    <t>Автом "ЗИЛ-157"</t>
  </si>
  <si>
    <t>Автом "Урал-375 АЦ-40"</t>
  </si>
  <si>
    <t>Трактор ТТ-4</t>
  </si>
  <si>
    <t>Автом "ЗИЛ-130"</t>
  </si>
  <si>
    <t>Автом "МАЗ-509"</t>
  </si>
  <si>
    <t>Тракторный прицеп</t>
  </si>
  <si>
    <t>Автоцистерна</t>
  </si>
  <si>
    <t>Мотоцикл "Урал"</t>
  </si>
  <si>
    <t>Автом "Урал-43204"03-17</t>
  </si>
  <si>
    <t>Автом "ЗИЛ-131"88-83</t>
  </si>
  <si>
    <t>Автом "Урал-43204"03-15</t>
  </si>
  <si>
    <t>Автом "ЗИЛ-131"б/н</t>
  </si>
  <si>
    <t>"31" декабря__ 2015г.</t>
  </si>
  <si>
    <t>"31" декабря 2015г.</t>
  </si>
  <si>
    <t>начисления износа ОС  за   2016 год</t>
  </si>
  <si>
    <t>начисления износа ОС  за   2016год</t>
  </si>
  <si>
    <t>год ввода</t>
  </si>
  <si>
    <t>общая</t>
  </si>
  <si>
    <t>начислен износ</t>
  </si>
  <si>
    <t xml:space="preserve">Перечень объектов  сооружения </t>
  </si>
  <si>
    <t xml:space="preserve">начислен </t>
  </si>
  <si>
    <t>п. Тиличеть ул. Советская</t>
  </si>
  <si>
    <t>0,6 км</t>
  </si>
  <si>
    <t>п. Тиличеть ул. Гагарина</t>
  </si>
  <si>
    <t>0,8 км</t>
  </si>
  <si>
    <t>п. Тиличеть ул. Терешковой</t>
  </si>
  <si>
    <t>п. Тиличеть ул. Таежная</t>
  </si>
  <si>
    <t>п. Тиличеть ул. Декабристов</t>
  </si>
  <si>
    <t>п. Тиличеть ул. Павлюка</t>
  </si>
  <si>
    <t>1,1 км</t>
  </si>
  <si>
    <t>п. Тиличеть ул. Первомайская</t>
  </si>
  <si>
    <t>0,5 км</t>
  </si>
  <si>
    <t>п. Тиличеть ул. Спартака</t>
  </si>
  <si>
    <t>п. Тиличеть ул. Поселковая</t>
  </si>
  <si>
    <t>п. Тиличеть ул. Ключевая</t>
  </si>
  <si>
    <t>0,3 км</t>
  </si>
  <si>
    <t>1,2 км</t>
  </si>
  <si>
    <t>п. Тиличеть ул. Станционная</t>
  </si>
  <si>
    <t>п. Тиличеть ул.Короткий переулок</t>
  </si>
  <si>
    <t>0,1 км</t>
  </si>
  <si>
    <t>п. Тиличеть ул.Семофорная</t>
  </si>
  <si>
    <t>0,2 км</t>
  </si>
  <si>
    <t>п. Тиличеть дорога до кладбища</t>
  </si>
  <si>
    <t>4 км</t>
  </si>
  <si>
    <t xml:space="preserve"> Советская-11</t>
  </si>
  <si>
    <t xml:space="preserve"> Гагарина-19</t>
  </si>
  <si>
    <t xml:space="preserve"> Гагарина-24</t>
  </si>
  <si>
    <t xml:space="preserve"> Таежная-15</t>
  </si>
  <si>
    <t>Таежная-20</t>
  </si>
  <si>
    <t>Таежная-23</t>
  </si>
  <si>
    <t xml:space="preserve"> Декабрист-23</t>
  </si>
  <si>
    <t xml:space="preserve"> Зеленая-19</t>
  </si>
  <si>
    <t xml:space="preserve"> Зеленая-23</t>
  </si>
  <si>
    <t xml:space="preserve"> Павлюка-14</t>
  </si>
  <si>
    <t xml:space="preserve"> Спартака-5</t>
  </si>
  <si>
    <t xml:space="preserve"> Спартака-8</t>
  </si>
  <si>
    <t>Спартака-13</t>
  </si>
  <si>
    <t>Поселков-18</t>
  </si>
  <si>
    <t>на 01.01.2019</t>
  </si>
  <si>
    <t>на 01.01.2019г</t>
  </si>
  <si>
    <t>.01020028</t>
  </si>
  <si>
    <t>.01020103</t>
  </si>
  <si>
    <t>Гараж</t>
  </si>
  <si>
    <t>ул. Школьная</t>
  </si>
  <si>
    <t>кирпич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</si>
</sst>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%"/>
    <numFmt numFmtId="171" formatCode="0.0"/>
    <numFmt numFmtId="172" formatCode="0.00000"/>
    <numFmt numFmtId="173" formatCode="0.000000"/>
    <numFmt numFmtId="174" formatCode="0.0000000"/>
  </numFmts>
  <fonts count="1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u val="single"/>
      <sz val="8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6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2" fontId="4" fillId="0" borderId="8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 horizontal="center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1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" fontId="4" fillId="0" borderId="27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1" fontId="4" fillId="0" borderId="31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9" fontId="4" fillId="0" borderId="24" xfId="0" applyNumberFormat="1" applyFont="1" applyBorder="1" applyAlignment="1">
      <alignment horizontal="center"/>
    </xf>
    <xf numFmtId="1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1" fontId="4" fillId="0" borderId="28" xfId="0" applyNumberFormat="1" applyFont="1" applyBorder="1" applyAlignment="1">
      <alignment/>
    </xf>
    <xf numFmtId="9" fontId="4" fillId="0" borderId="28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170" fontId="4" fillId="0" borderId="29" xfId="0" applyNumberFormat="1" applyFont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30" xfId="0" applyFont="1" applyFill="1" applyBorder="1" applyAlignment="1">
      <alignment vertical="top" wrapText="1"/>
    </xf>
    <xf numFmtId="170" fontId="4" fillId="0" borderId="28" xfId="0" applyNumberFormat="1" applyFont="1" applyBorder="1" applyAlignment="1">
      <alignment/>
    </xf>
    <xf numFmtId="0" fontId="1" fillId="0" borderId="23" xfId="0" applyFont="1" applyFill="1" applyBorder="1" applyAlignment="1">
      <alignment vertical="top" wrapText="1"/>
    </xf>
    <xf numFmtId="170" fontId="4" fillId="0" borderId="24" xfId="0" applyNumberFormat="1" applyFont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4" fillId="0" borderId="6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8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17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14" fontId="0" fillId="0" borderId="6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0" xfId="0" applyBorder="1" applyAlignment="1">
      <alignment/>
    </xf>
    <xf numFmtId="2" fontId="4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2" xfId="0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5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" fontId="4" fillId="0" borderId="3" xfId="0" applyNumberFormat="1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42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2" fontId="0" fillId="0" borderId="42" xfId="0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9" fillId="0" borderId="6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15" fillId="0" borderId="14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0" xfId="0" applyFont="1" applyAlignment="1">
      <alignment/>
    </xf>
    <xf numFmtId="2" fontId="9" fillId="0" borderId="8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view="pageBreakPreview" zoomScaleSheetLayoutView="100" workbookViewId="0" topLeftCell="A115">
      <selection activeCell="E145" sqref="E145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0.12890625" style="0" hidden="1" customWidth="1"/>
    <col min="4" max="4" width="9.00390625" style="0" hidden="1" customWidth="1"/>
    <col min="5" max="5" width="13.625" style="0" customWidth="1"/>
    <col min="6" max="6" width="9.75390625" style="0" customWidth="1"/>
    <col min="7" max="7" width="15.125" style="0" customWidth="1"/>
    <col min="8" max="8" width="0.12890625" style="0" hidden="1" customWidth="1"/>
    <col min="9" max="9" width="6.25390625" style="0" hidden="1" customWidth="1"/>
    <col min="10" max="10" width="12.875" style="0" customWidth="1"/>
    <col min="11" max="11" width="11.875" style="0" customWidth="1"/>
    <col min="12" max="12" width="15.125" style="0" customWidth="1"/>
  </cols>
  <sheetData>
    <row r="1" spans="2:11" ht="18">
      <c r="B1" s="62" t="s">
        <v>133</v>
      </c>
      <c r="G1" s="5" t="s">
        <v>269</v>
      </c>
      <c r="K1" s="5"/>
    </row>
    <row r="2" spans="2:12" ht="15.75">
      <c r="B2" s="6" t="s">
        <v>134</v>
      </c>
      <c r="C2" s="4" t="s">
        <v>130</v>
      </c>
      <c r="G2" s="4" t="s">
        <v>449</v>
      </c>
      <c r="K2" s="11"/>
      <c r="L2" s="11"/>
    </row>
    <row r="3" spans="2:12" ht="16.5" thickBot="1">
      <c r="B3" s="6" t="s">
        <v>268</v>
      </c>
      <c r="C3" s="4"/>
      <c r="G3" s="4"/>
      <c r="K3" s="14"/>
      <c r="L3" s="11"/>
    </row>
    <row r="4" spans="1:12" ht="16.5" thickBot="1">
      <c r="A4" s="19"/>
      <c r="B4" s="67"/>
      <c r="C4" s="68"/>
      <c r="D4" s="8"/>
      <c r="E4" s="19"/>
      <c r="F4" s="174" t="s">
        <v>319</v>
      </c>
      <c r="G4" s="65" t="s">
        <v>273</v>
      </c>
      <c r="H4" s="8"/>
      <c r="I4" s="9"/>
      <c r="J4" s="63" t="s">
        <v>272</v>
      </c>
      <c r="K4" s="15"/>
      <c r="L4" s="39" t="s">
        <v>304</v>
      </c>
    </row>
    <row r="5" spans="1:12" ht="15">
      <c r="A5" s="17"/>
      <c r="B5" s="69" t="s">
        <v>276</v>
      </c>
      <c r="C5" s="66" t="s">
        <v>115</v>
      </c>
      <c r="D5" s="9" t="s">
        <v>117</v>
      </c>
      <c r="E5" s="36" t="s">
        <v>274</v>
      </c>
      <c r="F5" s="172" t="s">
        <v>120</v>
      </c>
      <c r="G5" s="70" t="s">
        <v>277</v>
      </c>
      <c r="H5" s="11" t="s">
        <v>131</v>
      </c>
      <c r="I5" s="12" t="s">
        <v>119</v>
      </c>
      <c r="J5" s="19" t="s">
        <v>126</v>
      </c>
      <c r="K5" s="19" t="s">
        <v>126</v>
      </c>
      <c r="L5" s="36" t="s">
        <v>279</v>
      </c>
    </row>
    <row r="6" spans="1:12" ht="15" thickBot="1">
      <c r="A6" s="18"/>
      <c r="B6" s="64"/>
      <c r="C6" s="64" t="s">
        <v>116</v>
      </c>
      <c r="D6" s="15" t="s">
        <v>118</v>
      </c>
      <c r="E6" s="42" t="s">
        <v>275</v>
      </c>
      <c r="F6" s="173"/>
      <c r="G6" s="71" t="s">
        <v>116</v>
      </c>
      <c r="H6" s="14" t="s">
        <v>132</v>
      </c>
      <c r="I6" s="15" t="s">
        <v>120</v>
      </c>
      <c r="J6" s="18" t="s">
        <v>270</v>
      </c>
      <c r="K6" s="18" t="s">
        <v>271</v>
      </c>
      <c r="L6" s="42"/>
    </row>
    <row r="7" spans="1:12" ht="15.75" customHeight="1">
      <c r="A7">
        <v>1</v>
      </c>
      <c r="B7" s="95" t="s">
        <v>0</v>
      </c>
      <c r="C7" s="1">
        <v>732162</v>
      </c>
      <c r="D7">
        <v>1.27</v>
      </c>
      <c r="E7" s="2">
        <v>110102000</v>
      </c>
      <c r="F7" s="2"/>
      <c r="G7" s="48">
        <v>734578.16</v>
      </c>
      <c r="H7" s="100">
        <f aca="true" t="shared" si="0" ref="H7:H35">G7-C7</f>
        <v>2416.1600000000326</v>
      </c>
      <c r="I7" s="3">
        <v>1987</v>
      </c>
      <c r="J7" s="101">
        <v>0.02</v>
      </c>
      <c r="K7" s="102">
        <f aca="true" t="shared" si="1" ref="K7:K35">2/12</f>
        <v>0.16666666666666666</v>
      </c>
      <c r="L7" s="99">
        <v>1550</v>
      </c>
    </row>
    <row r="8" spans="1:12" ht="17.25" customHeight="1">
      <c r="A8">
        <v>2</v>
      </c>
      <c r="B8" s="96" t="s">
        <v>1</v>
      </c>
      <c r="C8" s="1">
        <v>677675</v>
      </c>
      <c r="D8">
        <v>1.27</v>
      </c>
      <c r="E8" s="2">
        <v>110102000</v>
      </c>
      <c r="F8" s="114"/>
      <c r="G8" s="50">
        <v>628272.81</v>
      </c>
      <c r="H8" s="124">
        <f t="shared" si="0"/>
        <v>-49402.189999999944</v>
      </c>
      <c r="I8" s="106">
        <v>1984</v>
      </c>
      <c r="J8" s="127">
        <v>0.02</v>
      </c>
      <c r="K8" s="103">
        <f t="shared" si="1"/>
        <v>0.16666666666666666</v>
      </c>
      <c r="L8" s="119">
        <v>1434</v>
      </c>
    </row>
    <row r="9" spans="1:12" ht="17.25" customHeight="1">
      <c r="A9">
        <v>3</v>
      </c>
      <c r="B9" s="97" t="s">
        <v>2</v>
      </c>
      <c r="C9" s="1">
        <v>176852</v>
      </c>
      <c r="D9">
        <v>1.27</v>
      </c>
      <c r="E9" s="2">
        <v>110102000</v>
      </c>
      <c r="F9" s="2"/>
      <c r="G9" s="50">
        <v>87594.44</v>
      </c>
      <c r="H9" s="100">
        <f t="shared" si="0"/>
        <v>-89257.56</v>
      </c>
      <c r="I9" s="3">
        <v>1967</v>
      </c>
      <c r="J9" s="101">
        <v>0.02</v>
      </c>
      <c r="K9" s="103">
        <f t="shared" si="1"/>
        <v>0.16666666666666666</v>
      </c>
      <c r="L9" s="99">
        <v>374</v>
      </c>
    </row>
    <row r="10" spans="1:12" ht="16.5" customHeight="1">
      <c r="A10">
        <v>4</v>
      </c>
      <c r="B10" s="96" t="s">
        <v>3</v>
      </c>
      <c r="C10">
        <v>537749</v>
      </c>
      <c r="D10">
        <v>1.27</v>
      </c>
      <c r="E10" s="2">
        <v>110102000</v>
      </c>
      <c r="F10" s="114"/>
      <c r="G10" s="154">
        <v>416594.29</v>
      </c>
      <c r="H10" s="124">
        <f t="shared" si="0"/>
        <v>-121154.71000000002</v>
      </c>
      <c r="I10" s="106">
        <v>1984</v>
      </c>
      <c r="J10" s="127">
        <v>0.02</v>
      </c>
      <c r="K10" s="103">
        <f t="shared" si="1"/>
        <v>0.16666666666666666</v>
      </c>
      <c r="L10" s="119">
        <v>1138</v>
      </c>
    </row>
    <row r="11" spans="1:12" ht="17.25" customHeight="1">
      <c r="A11">
        <v>5</v>
      </c>
      <c r="B11" s="97" t="s">
        <v>4</v>
      </c>
      <c r="C11">
        <v>176852</v>
      </c>
      <c r="D11">
        <v>1.27</v>
      </c>
      <c r="E11" s="2">
        <v>110102000</v>
      </c>
      <c r="F11" s="2"/>
      <c r="G11" s="50">
        <v>87594.44</v>
      </c>
      <c r="H11" s="100">
        <f t="shared" si="0"/>
        <v>-89257.56</v>
      </c>
      <c r="I11" s="3">
        <v>1967</v>
      </c>
      <c r="J11" s="101">
        <v>0.02</v>
      </c>
      <c r="K11" s="103">
        <f t="shared" si="1"/>
        <v>0.16666666666666666</v>
      </c>
      <c r="L11" s="99">
        <v>374</v>
      </c>
    </row>
    <row r="12" spans="1:12" ht="17.25" customHeight="1">
      <c r="A12">
        <v>6</v>
      </c>
      <c r="B12" s="96" t="s">
        <v>5</v>
      </c>
      <c r="C12" s="1">
        <v>639958.56</v>
      </c>
      <c r="D12">
        <v>1.27</v>
      </c>
      <c r="E12" s="2">
        <v>110102000</v>
      </c>
      <c r="F12" s="114"/>
      <c r="G12" s="50">
        <v>577051.17</v>
      </c>
      <c r="H12" s="124">
        <f t="shared" si="0"/>
        <v>-62907.390000000014</v>
      </c>
      <c r="I12" s="106">
        <v>1983</v>
      </c>
      <c r="J12" s="127">
        <v>0.02</v>
      </c>
      <c r="K12" s="103">
        <f t="shared" si="1"/>
        <v>0.16666666666666666</v>
      </c>
      <c r="L12" s="119">
        <v>1355</v>
      </c>
    </row>
    <row r="13" spans="1:12" ht="17.25" customHeight="1">
      <c r="A13">
        <v>7</v>
      </c>
      <c r="B13" s="95" t="s">
        <v>6</v>
      </c>
      <c r="C13" s="1">
        <v>176852.24</v>
      </c>
      <c r="D13">
        <v>1.27</v>
      </c>
      <c r="E13" s="2">
        <v>110102000</v>
      </c>
      <c r="F13" s="2"/>
      <c r="G13" s="50">
        <v>87594.44</v>
      </c>
      <c r="H13" s="100">
        <f t="shared" si="0"/>
        <v>-89257.79999999999</v>
      </c>
      <c r="I13" s="3">
        <v>1967</v>
      </c>
      <c r="J13" s="101">
        <v>0.02</v>
      </c>
      <c r="K13" s="103">
        <f t="shared" si="1"/>
        <v>0.16666666666666666</v>
      </c>
      <c r="L13" s="99">
        <v>374</v>
      </c>
    </row>
    <row r="14" spans="1:12" ht="19.5" customHeight="1">
      <c r="A14">
        <v>8</v>
      </c>
      <c r="B14" s="96" t="s">
        <v>7</v>
      </c>
      <c r="C14" s="1">
        <v>606724.19</v>
      </c>
      <c r="D14">
        <v>1.27</v>
      </c>
      <c r="E14" s="2">
        <v>110102000</v>
      </c>
      <c r="F14" s="2"/>
      <c r="G14" s="50">
        <v>531672.8</v>
      </c>
      <c r="H14" s="100">
        <f t="shared" si="0"/>
        <v>-75051.3899999999</v>
      </c>
      <c r="I14" s="3">
        <v>1982</v>
      </c>
      <c r="J14" s="101">
        <v>0.02</v>
      </c>
      <c r="K14" s="103">
        <f t="shared" si="1"/>
        <v>0.16666666666666666</v>
      </c>
      <c r="L14" s="99">
        <v>1284</v>
      </c>
    </row>
    <row r="15" spans="1:12" ht="17.25" customHeight="1">
      <c r="A15">
        <v>9</v>
      </c>
      <c r="B15" s="97" t="s">
        <v>8</v>
      </c>
      <c r="C15" s="129">
        <v>186202.6</v>
      </c>
      <c r="D15" s="91">
        <v>1.27</v>
      </c>
      <c r="E15" s="2">
        <v>110102000</v>
      </c>
      <c r="F15" s="123"/>
      <c r="G15" s="50">
        <v>87496.65</v>
      </c>
      <c r="H15" s="124">
        <f t="shared" si="0"/>
        <v>-98705.95000000001</v>
      </c>
      <c r="I15" s="106">
        <v>1966</v>
      </c>
      <c r="J15" s="127">
        <v>0.02</v>
      </c>
      <c r="K15" s="103">
        <f t="shared" si="1"/>
        <v>0.16666666666666666</v>
      </c>
      <c r="L15" s="119">
        <v>394</v>
      </c>
    </row>
    <row r="16" spans="1:12" ht="18.75" customHeight="1">
      <c r="A16">
        <v>10</v>
      </c>
      <c r="B16" s="96" t="s">
        <v>9</v>
      </c>
      <c r="C16" s="1">
        <v>549630.94</v>
      </c>
      <c r="D16">
        <v>1.27</v>
      </c>
      <c r="E16" s="2">
        <v>110102000</v>
      </c>
      <c r="F16" s="2"/>
      <c r="G16" s="50">
        <v>467681.31</v>
      </c>
      <c r="H16" s="100">
        <f t="shared" si="0"/>
        <v>-81949.62999999995</v>
      </c>
      <c r="I16" s="3">
        <v>1981</v>
      </c>
      <c r="J16" s="101">
        <v>0.02</v>
      </c>
      <c r="K16" s="103">
        <f t="shared" si="1"/>
        <v>0.16666666666666666</v>
      </c>
      <c r="L16" s="99">
        <v>1163</v>
      </c>
    </row>
    <row r="17" spans="1:12" ht="18.75" customHeight="1">
      <c r="A17">
        <v>11</v>
      </c>
      <c r="B17" s="95" t="s">
        <v>10</v>
      </c>
      <c r="C17" s="1">
        <v>484256.26</v>
      </c>
      <c r="D17">
        <v>1.27</v>
      </c>
      <c r="E17" s="2">
        <v>110102000</v>
      </c>
      <c r="F17" s="114"/>
      <c r="G17" s="50">
        <v>387451.6</v>
      </c>
      <c r="H17" s="124">
        <f t="shared" si="0"/>
        <v>-96804.66000000003</v>
      </c>
      <c r="I17" s="106">
        <v>1979</v>
      </c>
      <c r="J17" s="127">
        <v>0.02</v>
      </c>
      <c r="K17" s="103">
        <f t="shared" si="1"/>
        <v>0.16666666666666666</v>
      </c>
      <c r="L17" s="119">
        <v>1025</v>
      </c>
    </row>
    <row r="18" spans="1:12" ht="18.75" customHeight="1">
      <c r="A18">
        <v>12</v>
      </c>
      <c r="B18" s="96" t="s">
        <v>11</v>
      </c>
      <c r="C18" s="1">
        <v>186202.56</v>
      </c>
      <c r="D18">
        <v>1.27</v>
      </c>
      <c r="E18" s="2">
        <v>110102000</v>
      </c>
      <c r="F18" s="2"/>
      <c r="G18" s="50">
        <v>87496.65</v>
      </c>
      <c r="H18" s="100">
        <f t="shared" si="0"/>
        <v>-98705.91</v>
      </c>
      <c r="I18" s="3">
        <v>1966</v>
      </c>
      <c r="J18" s="101">
        <v>0.02</v>
      </c>
      <c r="K18" s="103">
        <f t="shared" si="1"/>
        <v>0.16666666666666666</v>
      </c>
      <c r="L18" s="99">
        <v>394</v>
      </c>
    </row>
    <row r="19" spans="1:12" ht="18" customHeight="1">
      <c r="A19">
        <v>13</v>
      </c>
      <c r="B19" s="97" t="s">
        <v>12</v>
      </c>
      <c r="C19" s="1">
        <v>454246.32</v>
      </c>
      <c r="D19">
        <v>1.27</v>
      </c>
      <c r="E19" s="2">
        <v>110102000</v>
      </c>
      <c r="F19" s="114"/>
      <c r="G19" s="50">
        <v>363442.25</v>
      </c>
      <c r="H19" s="124">
        <f t="shared" si="0"/>
        <v>-90804.07</v>
      </c>
      <c r="I19" s="106">
        <v>1979</v>
      </c>
      <c r="J19" s="127">
        <v>0.02</v>
      </c>
      <c r="K19" s="103">
        <f t="shared" si="1"/>
        <v>0.16666666666666666</v>
      </c>
      <c r="L19" s="119">
        <v>961</v>
      </c>
    </row>
    <row r="20" spans="1:12" ht="18" customHeight="1">
      <c r="A20">
        <v>14</v>
      </c>
      <c r="B20" s="96" t="s">
        <v>13</v>
      </c>
      <c r="C20" s="1">
        <v>433238.97</v>
      </c>
      <c r="D20">
        <v>1.27</v>
      </c>
      <c r="E20" s="2">
        <v>110102000</v>
      </c>
      <c r="F20" s="2"/>
      <c r="G20" s="50">
        <v>335630.52</v>
      </c>
      <c r="H20" s="100">
        <f t="shared" si="0"/>
        <v>-97608.44999999995</v>
      </c>
      <c r="I20" s="3">
        <v>1978</v>
      </c>
      <c r="J20" s="101">
        <v>0.02</v>
      </c>
      <c r="K20" s="103">
        <f t="shared" si="1"/>
        <v>0.16666666666666666</v>
      </c>
      <c r="L20" s="99">
        <v>917</v>
      </c>
    </row>
    <row r="21" spans="1:12" ht="18" customHeight="1">
      <c r="A21">
        <v>15</v>
      </c>
      <c r="B21" s="97" t="s">
        <v>14</v>
      </c>
      <c r="C21" s="1">
        <v>422542.17</v>
      </c>
      <c r="D21">
        <v>1.27</v>
      </c>
      <c r="E21" s="2">
        <v>110102000</v>
      </c>
      <c r="F21" s="114"/>
      <c r="G21" s="50">
        <v>316611</v>
      </c>
      <c r="H21" s="124">
        <f t="shared" si="0"/>
        <v>-105931.16999999998</v>
      </c>
      <c r="I21" s="106">
        <v>1977</v>
      </c>
      <c r="J21" s="127">
        <v>0.02</v>
      </c>
      <c r="K21" s="103">
        <f t="shared" si="1"/>
        <v>0.16666666666666666</v>
      </c>
      <c r="L21" s="119">
        <v>894</v>
      </c>
    </row>
    <row r="22" spans="1:12" ht="18" customHeight="1">
      <c r="A22">
        <v>16</v>
      </c>
      <c r="B22" s="96" t="s">
        <v>15</v>
      </c>
      <c r="C22" s="1">
        <v>498055.24</v>
      </c>
      <c r="D22">
        <v>1.27</v>
      </c>
      <c r="E22" s="2">
        <v>110102000</v>
      </c>
      <c r="F22" s="2"/>
      <c r="G22" s="50">
        <v>360542.84</v>
      </c>
      <c r="H22" s="100">
        <f t="shared" si="0"/>
        <v>-137512.39999999997</v>
      </c>
      <c r="I22" s="3">
        <v>1976</v>
      </c>
      <c r="J22" s="101">
        <v>0.02</v>
      </c>
      <c r="K22" s="103">
        <f t="shared" si="1"/>
        <v>0.16666666666666666</v>
      </c>
      <c r="L22" s="99">
        <v>1054</v>
      </c>
    </row>
    <row r="23" spans="1:12" ht="17.25" customHeight="1">
      <c r="A23">
        <v>17</v>
      </c>
      <c r="B23" s="97" t="s">
        <v>16</v>
      </c>
      <c r="C23" s="1">
        <v>386087.55</v>
      </c>
      <c r="D23">
        <v>1.27</v>
      </c>
      <c r="E23" s="2">
        <v>110102000</v>
      </c>
      <c r="F23" s="114"/>
      <c r="G23" s="50">
        <v>289295.84</v>
      </c>
      <c r="H23" s="124">
        <f t="shared" si="0"/>
        <v>-96791.70999999996</v>
      </c>
      <c r="I23" s="106">
        <v>1977</v>
      </c>
      <c r="J23" s="127">
        <v>0.02</v>
      </c>
      <c r="K23" s="103">
        <f t="shared" si="1"/>
        <v>0.16666666666666666</v>
      </c>
      <c r="L23" s="119">
        <v>817</v>
      </c>
    </row>
    <row r="24" spans="1:12" ht="18" customHeight="1">
      <c r="A24">
        <v>18</v>
      </c>
      <c r="B24" s="97" t="s">
        <v>17</v>
      </c>
      <c r="C24" s="1">
        <v>176852.24</v>
      </c>
      <c r="D24">
        <v>1.27</v>
      </c>
      <c r="E24" s="2">
        <v>110102000</v>
      </c>
      <c r="F24" s="114"/>
      <c r="G24" s="50">
        <v>87594.44</v>
      </c>
      <c r="H24" s="124">
        <f t="shared" si="0"/>
        <v>-89257.79999999999</v>
      </c>
      <c r="I24" s="106">
        <v>1967</v>
      </c>
      <c r="J24" s="127">
        <v>0.02</v>
      </c>
      <c r="K24" s="103">
        <f t="shared" si="1"/>
        <v>0.16666666666666666</v>
      </c>
      <c r="L24" s="119">
        <v>374</v>
      </c>
    </row>
    <row r="25" spans="1:12" ht="19.5" customHeight="1">
      <c r="A25">
        <v>19</v>
      </c>
      <c r="B25" s="96" t="s">
        <v>18</v>
      </c>
      <c r="C25" s="1">
        <v>350508.77</v>
      </c>
      <c r="D25">
        <v>1.27</v>
      </c>
      <c r="E25" s="2">
        <v>110102000</v>
      </c>
      <c r="F25" s="2"/>
      <c r="G25" s="50">
        <v>155801.06</v>
      </c>
      <c r="H25" s="100">
        <f t="shared" si="0"/>
        <v>-194707.71000000002</v>
      </c>
      <c r="I25" s="3">
        <v>1965</v>
      </c>
      <c r="J25" s="101">
        <v>0.02</v>
      </c>
      <c r="K25" s="103">
        <f t="shared" si="1"/>
        <v>0.16666666666666666</v>
      </c>
      <c r="L25" s="99">
        <v>742</v>
      </c>
    </row>
    <row r="26" spans="1:12" ht="18.75" customHeight="1">
      <c r="A26">
        <v>20</v>
      </c>
      <c r="B26" s="97" t="s">
        <v>19</v>
      </c>
      <c r="C26" s="1">
        <v>168401.39</v>
      </c>
      <c r="D26">
        <v>1.27</v>
      </c>
      <c r="E26" s="2">
        <v>110102000</v>
      </c>
      <c r="F26" s="114"/>
      <c r="G26" s="50">
        <v>87687.15</v>
      </c>
      <c r="H26" s="124">
        <f t="shared" si="0"/>
        <v>-80714.24000000002</v>
      </c>
      <c r="I26" s="106">
        <v>1968</v>
      </c>
      <c r="J26" s="127">
        <v>0.02</v>
      </c>
      <c r="K26" s="103">
        <f t="shared" si="1"/>
        <v>0.16666666666666666</v>
      </c>
      <c r="L26" s="119">
        <v>356</v>
      </c>
    </row>
    <row r="27" spans="1:12" ht="17.25" customHeight="1">
      <c r="A27">
        <v>21</v>
      </c>
      <c r="B27" s="96" t="s">
        <v>20</v>
      </c>
      <c r="C27" s="1">
        <v>176852.24</v>
      </c>
      <c r="D27">
        <v>1.27</v>
      </c>
      <c r="E27" s="2">
        <v>110102000</v>
      </c>
      <c r="F27" s="2"/>
      <c r="G27" s="50">
        <v>87594.44</v>
      </c>
      <c r="H27" s="100">
        <f t="shared" si="0"/>
        <v>-89257.79999999999</v>
      </c>
      <c r="I27" s="3">
        <v>1967</v>
      </c>
      <c r="J27" s="101">
        <v>0.02</v>
      </c>
      <c r="K27" s="103">
        <f t="shared" si="1"/>
        <v>0.16666666666666666</v>
      </c>
      <c r="L27" s="99">
        <v>374</v>
      </c>
    </row>
    <row r="28" spans="1:12" ht="18.75" customHeight="1">
      <c r="A28">
        <v>22</v>
      </c>
      <c r="B28" s="97" t="s">
        <v>21</v>
      </c>
      <c r="C28" s="1">
        <v>182604.49</v>
      </c>
      <c r="D28">
        <v>1.27</v>
      </c>
      <c r="E28" s="2">
        <v>110102000</v>
      </c>
      <c r="F28" s="114"/>
      <c r="G28" s="48">
        <v>85806.28</v>
      </c>
      <c r="H28" s="124">
        <f t="shared" si="0"/>
        <v>-96798.20999999999</v>
      </c>
      <c r="I28" s="106">
        <v>1966</v>
      </c>
      <c r="J28" s="127">
        <v>0.02</v>
      </c>
      <c r="K28" s="103">
        <f t="shared" si="1"/>
        <v>0.16666666666666666</v>
      </c>
      <c r="L28" s="119">
        <v>387</v>
      </c>
    </row>
    <row r="29" spans="1:12" ht="18.75" customHeight="1">
      <c r="A29">
        <v>23</v>
      </c>
      <c r="B29" s="96" t="s">
        <v>22</v>
      </c>
      <c r="C29" s="1">
        <v>176852.24</v>
      </c>
      <c r="D29">
        <v>1.27</v>
      </c>
      <c r="E29" s="2">
        <v>110102000</v>
      </c>
      <c r="F29" s="2"/>
      <c r="G29" s="48">
        <v>69626.48</v>
      </c>
      <c r="H29" s="100">
        <f t="shared" si="0"/>
        <v>-107225.76</v>
      </c>
      <c r="I29" s="3">
        <v>1963</v>
      </c>
      <c r="J29" s="101">
        <v>0.02</v>
      </c>
      <c r="K29" s="103">
        <f t="shared" si="1"/>
        <v>0.16666666666666666</v>
      </c>
      <c r="L29" s="99">
        <v>374</v>
      </c>
    </row>
    <row r="30" spans="1:12" ht="17.25" customHeight="1">
      <c r="A30">
        <v>24</v>
      </c>
      <c r="B30" s="97" t="s">
        <v>23</v>
      </c>
      <c r="C30" s="1">
        <v>168401.39</v>
      </c>
      <c r="D30">
        <v>1.27</v>
      </c>
      <c r="E30" s="2">
        <v>110102000</v>
      </c>
      <c r="F30" s="114"/>
      <c r="G30" s="48">
        <v>66299.08</v>
      </c>
      <c r="H30" s="124">
        <f t="shared" si="0"/>
        <v>-102102.31000000001</v>
      </c>
      <c r="I30" s="106">
        <v>1963</v>
      </c>
      <c r="J30" s="127">
        <v>0.02</v>
      </c>
      <c r="K30" s="103">
        <f t="shared" si="1"/>
        <v>0.16666666666666666</v>
      </c>
      <c r="L30" s="119">
        <v>356</v>
      </c>
    </row>
    <row r="31" spans="1:12" ht="17.25" customHeight="1">
      <c r="A31">
        <v>25</v>
      </c>
      <c r="B31" s="96" t="s">
        <v>24</v>
      </c>
      <c r="C31" s="122">
        <v>350508.77</v>
      </c>
      <c r="D31" s="91">
        <v>1.27</v>
      </c>
      <c r="E31" s="2">
        <v>110102000</v>
      </c>
      <c r="F31" s="123"/>
      <c r="G31" s="48">
        <v>146898.36</v>
      </c>
      <c r="H31" s="124">
        <f t="shared" si="0"/>
        <v>-203610.41000000003</v>
      </c>
      <c r="I31" s="106">
        <v>1964</v>
      </c>
      <c r="J31" s="127">
        <v>0.02</v>
      </c>
      <c r="K31" s="103">
        <f t="shared" si="1"/>
        <v>0.16666666666666666</v>
      </c>
      <c r="L31" s="119">
        <v>742</v>
      </c>
    </row>
    <row r="32" spans="1:12" ht="17.25" customHeight="1">
      <c r="A32">
        <v>26</v>
      </c>
      <c r="B32" s="95" t="s">
        <v>25</v>
      </c>
      <c r="C32" s="1">
        <v>350508.77</v>
      </c>
      <c r="D32">
        <v>1.27</v>
      </c>
      <c r="E32" s="2">
        <v>110102000</v>
      </c>
      <c r="F32" s="2"/>
      <c r="G32" s="48">
        <v>146898.36</v>
      </c>
      <c r="H32" s="100">
        <f t="shared" si="0"/>
        <v>-203610.41000000003</v>
      </c>
      <c r="I32" s="3">
        <v>1964</v>
      </c>
      <c r="J32" s="101">
        <v>0.02</v>
      </c>
      <c r="K32" s="103">
        <f t="shared" si="1"/>
        <v>0.16666666666666666</v>
      </c>
      <c r="L32" s="99">
        <v>742</v>
      </c>
    </row>
    <row r="33" spans="1:12" ht="18" customHeight="1">
      <c r="A33">
        <v>27</v>
      </c>
      <c r="B33" s="95" t="s">
        <v>26</v>
      </c>
      <c r="C33" s="1">
        <v>182604.49</v>
      </c>
      <c r="D33">
        <v>1.27</v>
      </c>
      <c r="E33" s="2">
        <v>110102000</v>
      </c>
      <c r="F33" s="114"/>
      <c r="G33" s="48">
        <v>85806.28</v>
      </c>
      <c r="H33" s="124">
        <f t="shared" si="0"/>
        <v>-96798.20999999999</v>
      </c>
      <c r="I33" s="106">
        <v>1966</v>
      </c>
      <c r="J33" s="127">
        <v>0.02</v>
      </c>
      <c r="K33" s="103">
        <f t="shared" si="1"/>
        <v>0.16666666666666666</v>
      </c>
      <c r="L33" s="119">
        <v>387</v>
      </c>
    </row>
    <row r="34" spans="1:12" ht="17.25" customHeight="1">
      <c r="A34">
        <v>28</v>
      </c>
      <c r="B34" s="97" t="s">
        <v>27</v>
      </c>
      <c r="C34" s="1">
        <v>350508.77</v>
      </c>
      <c r="D34">
        <v>1.27</v>
      </c>
      <c r="E34" s="2">
        <v>110102000</v>
      </c>
      <c r="F34" s="2"/>
      <c r="G34" s="48">
        <v>146898.36</v>
      </c>
      <c r="H34" s="100">
        <f t="shared" si="0"/>
        <v>-203610.41000000003</v>
      </c>
      <c r="I34" s="3">
        <v>1964</v>
      </c>
      <c r="J34" s="101">
        <v>0.02</v>
      </c>
      <c r="K34" s="103">
        <f t="shared" si="1"/>
        <v>0.16666666666666666</v>
      </c>
      <c r="L34" s="99">
        <v>742</v>
      </c>
    </row>
    <row r="35" spans="1:12" ht="17.25" customHeight="1">
      <c r="A35">
        <v>29</v>
      </c>
      <c r="B35" s="96" t="s">
        <v>28</v>
      </c>
      <c r="C35" s="129">
        <v>176852.24</v>
      </c>
      <c r="D35" s="91">
        <v>1.27</v>
      </c>
      <c r="E35" s="2">
        <v>110102000</v>
      </c>
      <c r="F35" s="123"/>
      <c r="G35" s="48">
        <v>69626.48</v>
      </c>
      <c r="H35" s="124">
        <f t="shared" si="0"/>
        <v>-107225.76</v>
      </c>
      <c r="I35" s="106">
        <v>1963</v>
      </c>
      <c r="J35" s="125">
        <v>0.02</v>
      </c>
      <c r="K35" s="118">
        <f t="shared" si="1"/>
        <v>0.16666666666666666</v>
      </c>
      <c r="L35" s="119">
        <v>374</v>
      </c>
    </row>
    <row r="36" spans="1:12" ht="16.5" customHeight="1">
      <c r="A36">
        <v>30</v>
      </c>
      <c r="B36" s="95" t="s">
        <v>29</v>
      </c>
      <c r="C36" s="1">
        <v>906273.2</v>
      </c>
      <c r="D36">
        <v>1.27</v>
      </c>
      <c r="E36" s="2">
        <v>110102000</v>
      </c>
      <c r="F36" s="2"/>
      <c r="G36" s="48">
        <v>561727.35</v>
      </c>
      <c r="H36" s="100">
        <f aca="true" t="shared" si="2" ref="H36:H64">G36-C36</f>
        <v>-344545.85</v>
      </c>
      <c r="I36" s="3">
        <v>1973</v>
      </c>
      <c r="J36" s="101">
        <v>0.02</v>
      </c>
      <c r="K36" s="102">
        <f aca="true" t="shared" si="3" ref="K36:K64">2/12</f>
        <v>0.16666666666666666</v>
      </c>
      <c r="L36" s="99">
        <v>1918</v>
      </c>
    </row>
    <row r="37" spans="1:12" ht="18.75" customHeight="1">
      <c r="A37">
        <v>31</v>
      </c>
      <c r="B37" s="97" t="s">
        <v>30</v>
      </c>
      <c r="C37" s="1">
        <v>176852.24</v>
      </c>
      <c r="D37">
        <v>1.27</v>
      </c>
      <c r="E37" s="2">
        <v>110102000</v>
      </c>
      <c r="F37" s="114"/>
      <c r="G37" s="48">
        <v>87594.44</v>
      </c>
      <c r="H37" s="124">
        <f t="shared" si="2"/>
        <v>-89257.79999999999</v>
      </c>
      <c r="I37" s="106">
        <v>1967</v>
      </c>
      <c r="J37" s="127">
        <v>0.02</v>
      </c>
      <c r="K37" s="103">
        <f t="shared" si="3"/>
        <v>0.16666666666666666</v>
      </c>
      <c r="L37" s="119">
        <v>374</v>
      </c>
    </row>
    <row r="38" spans="1:12" ht="17.25" customHeight="1">
      <c r="A38">
        <v>32</v>
      </c>
      <c r="B38" s="96" t="s">
        <v>31</v>
      </c>
      <c r="C38" s="130">
        <v>350508.77</v>
      </c>
      <c r="D38" s="79">
        <v>1.27</v>
      </c>
      <c r="E38" s="2">
        <v>110102000</v>
      </c>
      <c r="F38" s="85"/>
      <c r="G38" s="48">
        <v>155780.74</v>
      </c>
      <c r="H38" s="120">
        <f t="shared" si="2"/>
        <v>-194728.03000000003</v>
      </c>
      <c r="I38" s="112">
        <v>1965</v>
      </c>
      <c r="J38" s="121">
        <v>0.02</v>
      </c>
      <c r="K38" s="118">
        <f t="shared" si="3"/>
        <v>0.16666666666666666</v>
      </c>
      <c r="L38" s="99">
        <v>742</v>
      </c>
    </row>
    <row r="39" spans="1:12" ht="17.25" customHeight="1">
      <c r="A39">
        <v>33</v>
      </c>
      <c r="B39" s="96" t="s">
        <v>123</v>
      </c>
      <c r="C39" s="1">
        <v>182563.89</v>
      </c>
      <c r="D39">
        <v>1.27</v>
      </c>
      <c r="E39" s="2">
        <v>110102000</v>
      </c>
      <c r="F39" s="2"/>
      <c r="G39" s="48">
        <v>85806.28</v>
      </c>
      <c r="H39" s="100">
        <f t="shared" si="2"/>
        <v>-96757.61000000002</v>
      </c>
      <c r="I39" s="3">
        <v>1966</v>
      </c>
      <c r="J39" s="101">
        <v>0.02</v>
      </c>
      <c r="K39" s="102">
        <f t="shared" si="3"/>
        <v>0.16666666666666666</v>
      </c>
      <c r="L39" s="119">
        <v>386</v>
      </c>
    </row>
    <row r="40" spans="1:12" ht="18.75" customHeight="1">
      <c r="A40">
        <v>34</v>
      </c>
      <c r="B40" s="95" t="s">
        <v>32</v>
      </c>
      <c r="C40" s="1">
        <v>326742.26</v>
      </c>
      <c r="D40">
        <v>1.27</v>
      </c>
      <c r="E40" s="2">
        <v>110102000</v>
      </c>
      <c r="F40" s="114"/>
      <c r="G40" s="48">
        <v>112039.4</v>
      </c>
      <c r="H40" s="124">
        <f t="shared" si="2"/>
        <v>-214702.86000000002</v>
      </c>
      <c r="I40" s="106">
        <v>1961</v>
      </c>
      <c r="J40" s="127">
        <v>0.02</v>
      </c>
      <c r="K40" s="103">
        <f t="shared" si="3"/>
        <v>0.16666666666666666</v>
      </c>
      <c r="L40" s="99">
        <v>692</v>
      </c>
    </row>
    <row r="41" spans="1:12" ht="18.75" customHeight="1">
      <c r="A41">
        <v>35</v>
      </c>
      <c r="B41" s="97" t="s">
        <v>33</v>
      </c>
      <c r="C41" s="1">
        <v>283446.48</v>
      </c>
      <c r="D41">
        <v>1.27</v>
      </c>
      <c r="E41" s="2">
        <v>110102000</v>
      </c>
      <c r="F41" s="114"/>
      <c r="G41" s="48">
        <v>97195.64</v>
      </c>
      <c r="H41" s="124">
        <f t="shared" si="2"/>
        <v>-186250.83999999997</v>
      </c>
      <c r="I41" s="106">
        <v>1961</v>
      </c>
      <c r="J41" s="127">
        <v>0.02</v>
      </c>
      <c r="K41" s="103">
        <f t="shared" si="3"/>
        <v>0.16666666666666666</v>
      </c>
      <c r="L41" s="119">
        <v>600</v>
      </c>
    </row>
    <row r="42" spans="1:12" ht="19.5" customHeight="1">
      <c r="A42">
        <v>36</v>
      </c>
      <c r="B42" s="96" t="s">
        <v>34</v>
      </c>
      <c r="C42" s="1">
        <v>176852.24</v>
      </c>
      <c r="D42">
        <v>1.27</v>
      </c>
      <c r="E42" s="2">
        <v>110102000</v>
      </c>
      <c r="F42" s="133"/>
      <c r="G42" s="48">
        <v>65134.49</v>
      </c>
      <c r="H42" s="120">
        <f t="shared" si="2"/>
        <v>-111717.75</v>
      </c>
      <c r="I42" s="112">
        <v>1962</v>
      </c>
      <c r="J42" s="126">
        <v>0.02</v>
      </c>
      <c r="K42" s="103">
        <f t="shared" si="3"/>
        <v>0.16666666666666666</v>
      </c>
      <c r="L42" s="99">
        <v>374</v>
      </c>
    </row>
    <row r="43" spans="1:12" ht="18.75" customHeight="1">
      <c r="A43">
        <v>37</v>
      </c>
      <c r="B43" s="97" t="s">
        <v>35</v>
      </c>
      <c r="C43" s="1">
        <v>176852.24</v>
      </c>
      <c r="D43">
        <v>1.27</v>
      </c>
      <c r="E43" s="2">
        <v>110102000</v>
      </c>
      <c r="F43" s="85"/>
      <c r="G43" s="48">
        <v>65134.49</v>
      </c>
      <c r="H43" s="120">
        <f t="shared" si="2"/>
        <v>-111717.75</v>
      </c>
      <c r="I43" s="112">
        <v>1962</v>
      </c>
      <c r="J43" s="121">
        <v>0.02</v>
      </c>
      <c r="K43" s="118">
        <f t="shared" si="3"/>
        <v>0.16666666666666666</v>
      </c>
      <c r="L43" s="119">
        <v>374</v>
      </c>
    </row>
    <row r="44" spans="1:12" ht="20.25" customHeight="1">
      <c r="A44">
        <v>38</v>
      </c>
      <c r="B44" s="96" t="s">
        <v>36</v>
      </c>
      <c r="C44" s="1">
        <v>182604.49</v>
      </c>
      <c r="D44">
        <v>1.27</v>
      </c>
      <c r="E44" s="2">
        <v>110102000</v>
      </c>
      <c r="F44" s="2"/>
      <c r="G44" s="48">
        <v>71890.89</v>
      </c>
      <c r="H44" s="100">
        <f t="shared" si="2"/>
        <v>-110713.59999999999</v>
      </c>
      <c r="I44" s="3">
        <v>1963</v>
      </c>
      <c r="J44" s="101">
        <v>0.02</v>
      </c>
      <c r="K44" s="102">
        <f t="shared" si="3"/>
        <v>0.16666666666666666</v>
      </c>
      <c r="L44" s="99">
        <v>387</v>
      </c>
    </row>
    <row r="45" spans="1:12" ht="18.75" customHeight="1">
      <c r="A45">
        <v>39</v>
      </c>
      <c r="B45" s="97" t="s">
        <v>37</v>
      </c>
      <c r="C45" s="1">
        <v>176852.24</v>
      </c>
      <c r="D45">
        <v>1.27</v>
      </c>
      <c r="E45" s="2">
        <v>110102000</v>
      </c>
      <c r="F45" s="114"/>
      <c r="G45" s="48">
        <v>65134.49</v>
      </c>
      <c r="H45" s="124">
        <f t="shared" si="2"/>
        <v>-111717.75</v>
      </c>
      <c r="I45" s="106">
        <v>1962</v>
      </c>
      <c r="J45" s="127">
        <v>0.02</v>
      </c>
      <c r="K45" s="103">
        <f t="shared" si="3"/>
        <v>0.16666666666666666</v>
      </c>
      <c r="L45" s="119">
        <v>374</v>
      </c>
    </row>
    <row r="46" spans="1:12" ht="19.5" customHeight="1">
      <c r="A46">
        <v>40</v>
      </c>
      <c r="B46" s="96" t="s">
        <v>38</v>
      </c>
      <c r="C46" s="1">
        <v>176852.24</v>
      </c>
      <c r="D46">
        <v>1.27</v>
      </c>
      <c r="E46" s="2">
        <v>110102000</v>
      </c>
      <c r="F46" s="2"/>
      <c r="G46" s="48">
        <v>60642.5</v>
      </c>
      <c r="H46" s="100">
        <f t="shared" si="2"/>
        <v>-116209.73999999999</v>
      </c>
      <c r="I46" s="3">
        <v>1961</v>
      </c>
      <c r="J46" s="101">
        <v>0.02</v>
      </c>
      <c r="K46" s="103">
        <f t="shared" si="3"/>
        <v>0.16666666666666666</v>
      </c>
      <c r="L46" s="99">
        <v>374</v>
      </c>
    </row>
    <row r="47" spans="1:12" ht="18.75" customHeight="1">
      <c r="A47">
        <v>41</v>
      </c>
      <c r="B47" s="95" t="s">
        <v>39</v>
      </c>
      <c r="C47" s="1">
        <v>350508.77</v>
      </c>
      <c r="D47">
        <v>1.27</v>
      </c>
      <c r="E47" s="2">
        <v>110102000</v>
      </c>
      <c r="F47" s="2"/>
      <c r="G47" s="48">
        <v>137995.66</v>
      </c>
      <c r="H47" s="100">
        <f t="shared" si="2"/>
        <v>-212513.11000000002</v>
      </c>
      <c r="I47" s="3">
        <v>1963</v>
      </c>
      <c r="J47" s="101">
        <v>0.02</v>
      </c>
      <c r="K47" s="103">
        <f t="shared" si="3"/>
        <v>0.16666666666666666</v>
      </c>
      <c r="L47" s="99">
        <v>742</v>
      </c>
    </row>
    <row r="48" spans="1:12" ht="19.5" customHeight="1">
      <c r="A48">
        <v>42</v>
      </c>
      <c r="B48" s="97" t="s">
        <v>40</v>
      </c>
      <c r="C48" s="129">
        <v>350508.77</v>
      </c>
      <c r="D48" s="91">
        <v>1.27</v>
      </c>
      <c r="E48" s="2">
        <v>110102000</v>
      </c>
      <c r="F48" s="123"/>
      <c r="G48" s="48">
        <v>137995.66</v>
      </c>
      <c r="H48" s="124">
        <f t="shared" si="2"/>
        <v>-212513.11000000002</v>
      </c>
      <c r="I48" s="106">
        <v>1963</v>
      </c>
      <c r="J48" s="127">
        <v>0.02</v>
      </c>
      <c r="K48" s="103">
        <f t="shared" si="3"/>
        <v>0.16666666666666666</v>
      </c>
      <c r="L48" s="119">
        <v>742</v>
      </c>
    </row>
    <row r="49" spans="1:12" ht="18.75" customHeight="1">
      <c r="A49">
        <v>43</v>
      </c>
      <c r="B49" s="97" t="s">
        <v>41</v>
      </c>
      <c r="C49" s="1">
        <v>176142.09</v>
      </c>
      <c r="D49">
        <v>1.27</v>
      </c>
      <c r="E49" s="2">
        <v>110102000</v>
      </c>
      <c r="F49" s="114"/>
      <c r="G49" s="48">
        <v>69347.08</v>
      </c>
      <c r="H49" s="124">
        <f t="shared" si="2"/>
        <v>-106795.01</v>
      </c>
      <c r="I49" s="106">
        <v>1963</v>
      </c>
      <c r="J49" s="127">
        <v>0.02</v>
      </c>
      <c r="K49" s="103">
        <f t="shared" si="3"/>
        <v>0.16666666666666666</v>
      </c>
      <c r="L49" s="119">
        <v>373</v>
      </c>
    </row>
    <row r="50" spans="1:12" ht="19.5" customHeight="1">
      <c r="A50">
        <v>44</v>
      </c>
      <c r="B50" s="96" t="s">
        <v>42</v>
      </c>
      <c r="C50" s="1">
        <v>176142.09</v>
      </c>
      <c r="D50">
        <v>1.27</v>
      </c>
      <c r="E50" s="2">
        <v>110102000</v>
      </c>
      <c r="F50" s="2"/>
      <c r="G50" s="48">
        <v>69347.08</v>
      </c>
      <c r="H50" s="100">
        <f t="shared" si="2"/>
        <v>-106795.01</v>
      </c>
      <c r="I50" s="3">
        <v>1963</v>
      </c>
      <c r="J50" s="101">
        <v>0.02</v>
      </c>
      <c r="K50" s="103">
        <f t="shared" si="3"/>
        <v>0.16666666666666666</v>
      </c>
      <c r="L50" s="99">
        <v>373</v>
      </c>
    </row>
    <row r="51" spans="1:12" ht="19.5" customHeight="1">
      <c r="A51">
        <v>45</v>
      </c>
      <c r="B51" s="96" t="s">
        <v>43</v>
      </c>
      <c r="C51" s="1">
        <v>176142.09</v>
      </c>
      <c r="D51">
        <v>1.27</v>
      </c>
      <c r="E51" s="2">
        <v>110102000</v>
      </c>
      <c r="F51" s="85"/>
      <c r="G51" s="48">
        <v>69347.08</v>
      </c>
      <c r="H51" s="120">
        <f t="shared" si="2"/>
        <v>-106795.01</v>
      </c>
      <c r="I51" s="112">
        <v>1963</v>
      </c>
      <c r="J51" s="126">
        <v>0.02</v>
      </c>
      <c r="K51" s="103">
        <f t="shared" si="3"/>
        <v>0.16666666666666666</v>
      </c>
      <c r="L51" s="99">
        <v>373</v>
      </c>
    </row>
    <row r="52" spans="1:12" ht="18.75" customHeight="1">
      <c r="A52">
        <v>46</v>
      </c>
      <c r="B52" s="97" t="s">
        <v>44</v>
      </c>
      <c r="C52" s="1">
        <v>176852.24</v>
      </c>
      <c r="D52">
        <v>1.27</v>
      </c>
      <c r="E52" s="2">
        <v>110102000</v>
      </c>
      <c r="F52" s="2"/>
      <c r="G52" s="48">
        <v>65134.49</v>
      </c>
      <c r="H52" s="100">
        <f t="shared" si="2"/>
        <v>-111717.75</v>
      </c>
      <c r="I52" s="3">
        <v>1962</v>
      </c>
      <c r="J52" s="101">
        <v>0.02</v>
      </c>
      <c r="K52" s="103">
        <f t="shared" si="3"/>
        <v>0.16666666666666666</v>
      </c>
      <c r="L52" s="119">
        <v>374</v>
      </c>
    </row>
    <row r="53" spans="1:12" ht="19.5" customHeight="1">
      <c r="A53">
        <v>47</v>
      </c>
      <c r="B53" s="96" t="s">
        <v>45</v>
      </c>
      <c r="C53" s="129">
        <v>189066.89</v>
      </c>
      <c r="D53" s="91">
        <v>1.27</v>
      </c>
      <c r="E53" s="2">
        <v>110102000</v>
      </c>
      <c r="F53" s="123"/>
      <c r="G53" s="48">
        <v>64830.96</v>
      </c>
      <c r="H53" s="124">
        <f t="shared" si="2"/>
        <v>-124235.93000000002</v>
      </c>
      <c r="I53" s="106">
        <v>1961</v>
      </c>
      <c r="J53" s="127">
        <v>0.02</v>
      </c>
      <c r="K53" s="103">
        <f t="shared" si="3"/>
        <v>0.16666666666666666</v>
      </c>
      <c r="L53" s="113">
        <v>400</v>
      </c>
    </row>
    <row r="54" spans="1:12" ht="18" customHeight="1">
      <c r="A54">
        <v>48</v>
      </c>
      <c r="B54" s="97" t="s">
        <v>46</v>
      </c>
      <c r="C54" s="1">
        <v>189066.89</v>
      </c>
      <c r="D54">
        <v>1.27</v>
      </c>
      <c r="E54" s="2">
        <v>110102000</v>
      </c>
      <c r="F54" s="2"/>
      <c r="G54" s="48">
        <v>64830.96</v>
      </c>
      <c r="H54" s="100">
        <f t="shared" si="2"/>
        <v>-124235.93000000002</v>
      </c>
      <c r="I54" s="3">
        <v>1961</v>
      </c>
      <c r="J54" s="101">
        <v>0.02</v>
      </c>
      <c r="K54" s="103">
        <f t="shared" si="3"/>
        <v>0.16666666666666666</v>
      </c>
      <c r="L54" s="113">
        <v>400</v>
      </c>
    </row>
    <row r="55" spans="1:12" ht="18.75" customHeight="1">
      <c r="A55">
        <v>49</v>
      </c>
      <c r="B55" s="96" t="s">
        <v>47</v>
      </c>
      <c r="C55" s="1">
        <v>189066.89</v>
      </c>
      <c r="D55">
        <v>1.27</v>
      </c>
      <c r="E55" s="2">
        <v>110102000</v>
      </c>
      <c r="F55" s="114"/>
      <c r="G55" s="48">
        <v>64830.96</v>
      </c>
      <c r="H55" s="124">
        <f t="shared" si="2"/>
        <v>-124235.93000000002</v>
      </c>
      <c r="I55" s="106">
        <v>1961</v>
      </c>
      <c r="J55" s="127">
        <v>0.02</v>
      </c>
      <c r="K55" s="103">
        <f t="shared" si="3"/>
        <v>0.16666666666666666</v>
      </c>
      <c r="L55" s="99">
        <v>400</v>
      </c>
    </row>
    <row r="56" spans="1:12" ht="18.75" customHeight="1">
      <c r="A56">
        <v>50</v>
      </c>
      <c r="B56" s="97" t="s">
        <v>48</v>
      </c>
      <c r="C56" s="1">
        <v>140894.73</v>
      </c>
      <c r="D56">
        <v>1.27</v>
      </c>
      <c r="E56" s="2">
        <v>110102000</v>
      </c>
      <c r="F56" s="2"/>
      <c r="G56" s="48">
        <v>48313.34</v>
      </c>
      <c r="H56" s="100">
        <f t="shared" si="2"/>
        <v>-92581.39000000001</v>
      </c>
      <c r="I56" s="3">
        <v>1961</v>
      </c>
      <c r="J56" s="101">
        <v>0.02</v>
      </c>
      <c r="K56" s="103">
        <f t="shared" si="3"/>
        <v>0.16666666666666666</v>
      </c>
      <c r="L56" s="119">
        <v>298</v>
      </c>
    </row>
    <row r="57" spans="1:12" ht="18" customHeight="1">
      <c r="A57">
        <v>51</v>
      </c>
      <c r="B57" s="96" t="s">
        <v>49</v>
      </c>
      <c r="C57" s="1">
        <v>189066.89</v>
      </c>
      <c r="D57">
        <v>1.27</v>
      </c>
      <c r="E57" s="2">
        <v>110102000</v>
      </c>
      <c r="F57" s="114"/>
      <c r="G57" s="48">
        <v>69632.83</v>
      </c>
      <c r="H57" s="124">
        <f t="shared" si="2"/>
        <v>-119434.06000000001</v>
      </c>
      <c r="I57" s="106">
        <v>1962</v>
      </c>
      <c r="J57" s="127">
        <v>0.02</v>
      </c>
      <c r="K57" s="103">
        <f t="shared" si="3"/>
        <v>0.16666666666666666</v>
      </c>
      <c r="L57" s="99">
        <v>400</v>
      </c>
    </row>
    <row r="58" spans="1:12" ht="17.25" customHeight="1">
      <c r="A58">
        <v>52</v>
      </c>
      <c r="B58" s="97" t="s">
        <v>50</v>
      </c>
      <c r="C58" s="1">
        <v>189066.89</v>
      </c>
      <c r="D58">
        <v>1.27</v>
      </c>
      <c r="E58" s="2">
        <v>110102000</v>
      </c>
      <c r="F58" s="133"/>
      <c r="G58" s="48">
        <v>64830.96</v>
      </c>
      <c r="H58" s="120">
        <f t="shared" si="2"/>
        <v>-124235.93000000002</v>
      </c>
      <c r="I58" s="112">
        <v>1961</v>
      </c>
      <c r="J58" s="126">
        <v>0.02</v>
      </c>
      <c r="K58" s="103">
        <f t="shared" si="3"/>
        <v>0.16666666666666666</v>
      </c>
      <c r="L58" s="119">
        <v>400</v>
      </c>
    </row>
    <row r="59" spans="1:12" ht="18" customHeight="1">
      <c r="A59">
        <v>53</v>
      </c>
      <c r="B59" s="96" t="s">
        <v>51</v>
      </c>
      <c r="C59" s="129">
        <v>286594.83</v>
      </c>
      <c r="D59" s="91">
        <v>1.27</v>
      </c>
      <c r="E59" s="2">
        <v>110102000</v>
      </c>
      <c r="F59" s="123"/>
      <c r="G59" s="48">
        <v>90994.23</v>
      </c>
      <c r="H59" s="124">
        <f t="shared" si="2"/>
        <v>-195600.60000000003</v>
      </c>
      <c r="I59" s="106">
        <v>1960</v>
      </c>
      <c r="J59" s="127">
        <v>0.02</v>
      </c>
      <c r="K59" s="103">
        <f t="shared" si="3"/>
        <v>0.16666666666666666</v>
      </c>
      <c r="L59" s="99">
        <v>607</v>
      </c>
    </row>
    <row r="60" spans="1:12" ht="19.5" customHeight="1">
      <c r="A60">
        <v>54</v>
      </c>
      <c r="B60" s="97" t="s">
        <v>52</v>
      </c>
      <c r="C60" s="1">
        <v>189066.89</v>
      </c>
      <c r="D60">
        <v>1.27</v>
      </c>
      <c r="E60" s="2">
        <v>110102000</v>
      </c>
      <c r="F60" s="2"/>
      <c r="G60" s="48">
        <v>64830.96</v>
      </c>
      <c r="H60" s="100">
        <f t="shared" si="2"/>
        <v>-124235.93000000002</v>
      </c>
      <c r="I60" s="3">
        <v>1961</v>
      </c>
      <c r="J60" s="101">
        <v>0.02</v>
      </c>
      <c r="K60" s="103">
        <f t="shared" si="3"/>
        <v>0.16666666666666666</v>
      </c>
      <c r="L60" s="119">
        <v>400</v>
      </c>
    </row>
    <row r="61" spans="1:12" ht="20.25" customHeight="1">
      <c r="A61">
        <v>55</v>
      </c>
      <c r="B61" s="96" t="s">
        <v>53</v>
      </c>
      <c r="C61" s="1">
        <v>189066.89</v>
      </c>
      <c r="D61">
        <v>1.27</v>
      </c>
      <c r="E61" s="2">
        <v>110102000</v>
      </c>
      <c r="F61" s="114"/>
      <c r="G61" s="48">
        <v>60024.01</v>
      </c>
      <c r="H61" s="124">
        <f t="shared" si="2"/>
        <v>-129042.88</v>
      </c>
      <c r="I61" s="106">
        <v>1960</v>
      </c>
      <c r="J61" s="127">
        <v>0.02</v>
      </c>
      <c r="K61" s="103">
        <f t="shared" si="3"/>
        <v>0.16666666666666666</v>
      </c>
      <c r="L61" s="113">
        <v>400</v>
      </c>
    </row>
    <row r="62" spans="1:12" ht="18.75" customHeight="1">
      <c r="A62">
        <v>56</v>
      </c>
      <c r="B62" s="95" t="s">
        <v>54</v>
      </c>
      <c r="C62" s="1">
        <v>323211.06</v>
      </c>
      <c r="D62">
        <v>1.27</v>
      </c>
      <c r="E62" s="2">
        <v>110102000</v>
      </c>
      <c r="F62" s="2"/>
      <c r="G62" s="48">
        <v>110829.09</v>
      </c>
      <c r="H62" s="100">
        <f t="shared" si="2"/>
        <v>-212381.97</v>
      </c>
      <c r="I62" s="3">
        <v>1961</v>
      </c>
      <c r="J62" s="101">
        <v>0.02</v>
      </c>
      <c r="K62" s="103">
        <f t="shared" si="3"/>
        <v>0.16666666666666666</v>
      </c>
      <c r="L62" s="113">
        <v>684</v>
      </c>
    </row>
    <row r="63" spans="1:12" ht="20.25" customHeight="1">
      <c r="A63">
        <v>57</v>
      </c>
      <c r="B63" s="95" t="s">
        <v>55</v>
      </c>
      <c r="C63" s="1">
        <v>292891.55</v>
      </c>
      <c r="D63">
        <v>1.27</v>
      </c>
      <c r="E63" s="2">
        <v>110102000</v>
      </c>
      <c r="F63" s="114"/>
      <c r="G63" s="48">
        <v>100432.87</v>
      </c>
      <c r="H63" s="124">
        <f t="shared" si="2"/>
        <v>-192458.68</v>
      </c>
      <c r="I63" s="106">
        <v>1961</v>
      </c>
      <c r="J63" s="127">
        <v>0.02</v>
      </c>
      <c r="K63" s="103">
        <f t="shared" si="3"/>
        <v>0.16666666666666666</v>
      </c>
      <c r="L63" s="113">
        <v>620</v>
      </c>
    </row>
    <row r="64" spans="1:12" ht="20.25" customHeight="1">
      <c r="A64">
        <v>58</v>
      </c>
      <c r="B64" s="96" t="s">
        <v>56</v>
      </c>
      <c r="C64" s="1">
        <v>292891.55</v>
      </c>
      <c r="D64">
        <v>1.27</v>
      </c>
      <c r="E64" s="2">
        <v>110102000</v>
      </c>
      <c r="F64" s="2"/>
      <c r="G64" s="48">
        <v>100432.87</v>
      </c>
      <c r="H64" s="100">
        <f t="shared" si="2"/>
        <v>-192458.68</v>
      </c>
      <c r="I64" s="3">
        <v>1961</v>
      </c>
      <c r="J64" s="101">
        <v>0.02</v>
      </c>
      <c r="K64" s="103">
        <f t="shared" si="3"/>
        <v>0.16666666666666666</v>
      </c>
      <c r="L64" s="113">
        <v>620</v>
      </c>
    </row>
    <row r="65" spans="1:12" ht="18.75" customHeight="1">
      <c r="A65">
        <v>59</v>
      </c>
      <c r="B65" s="95" t="s">
        <v>57</v>
      </c>
      <c r="C65" s="1">
        <v>292891.55</v>
      </c>
      <c r="D65">
        <v>1.27</v>
      </c>
      <c r="E65" s="2">
        <v>110102000</v>
      </c>
      <c r="F65" s="114"/>
      <c r="G65" s="48">
        <v>100432.87</v>
      </c>
      <c r="H65" s="124">
        <f aca="true" t="shared" si="4" ref="H65:H95">G65-C65</f>
        <v>-192458.68</v>
      </c>
      <c r="I65" s="106">
        <v>1961</v>
      </c>
      <c r="J65" s="127">
        <v>0.02</v>
      </c>
      <c r="K65" s="118">
        <f aca="true" t="shared" si="5" ref="K65:K95">2/12</f>
        <v>0.16666666666666666</v>
      </c>
      <c r="L65" s="113">
        <v>620</v>
      </c>
    </row>
    <row r="66" spans="1:12" ht="17.25" customHeight="1">
      <c r="A66">
        <v>60</v>
      </c>
      <c r="B66" s="97" t="s">
        <v>58</v>
      </c>
      <c r="C66" s="1">
        <v>292891.55</v>
      </c>
      <c r="D66">
        <v>1.27</v>
      </c>
      <c r="E66" s="2">
        <v>110102000</v>
      </c>
      <c r="F66" s="85"/>
      <c r="G66" s="48">
        <v>100432.87</v>
      </c>
      <c r="H66" s="120">
        <f t="shared" si="4"/>
        <v>-192458.68</v>
      </c>
      <c r="I66" s="112">
        <v>1961</v>
      </c>
      <c r="J66" s="126">
        <v>0.02</v>
      </c>
      <c r="K66" s="102">
        <f t="shared" si="5"/>
        <v>0.16666666666666666</v>
      </c>
      <c r="L66" s="99">
        <v>620</v>
      </c>
    </row>
    <row r="67" spans="1:12" ht="19.5" customHeight="1">
      <c r="A67">
        <v>61</v>
      </c>
      <c r="B67" s="96" t="s">
        <v>59</v>
      </c>
      <c r="C67" s="1">
        <v>292891.55</v>
      </c>
      <c r="D67">
        <v>1.27</v>
      </c>
      <c r="E67" s="2">
        <v>110102000</v>
      </c>
      <c r="F67" s="2"/>
      <c r="G67" s="48">
        <v>100432.87</v>
      </c>
      <c r="H67" s="100">
        <f t="shared" si="4"/>
        <v>-192458.68</v>
      </c>
      <c r="I67" s="3">
        <v>1961</v>
      </c>
      <c r="J67" s="101">
        <v>0.02</v>
      </c>
      <c r="K67" s="118">
        <f t="shared" si="5"/>
        <v>0.16666666666666666</v>
      </c>
      <c r="L67" s="119">
        <v>620</v>
      </c>
    </row>
    <row r="68" spans="1:12" ht="18" customHeight="1">
      <c r="A68">
        <v>62</v>
      </c>
      <c r="B68" s="97" t="s">
        <v>60</v>
      </c>
      <c r="C68" s="1">
        <v>292891.55</v>
      </c>
      <c r="D68">
        <v>1.27</v>
      </c>
      <c r="E68" s="2">
        <v>110102000</v>
      </c>
      <c r="F68" s="114"/>
      <c r="G68" s="48">
        <v>100432.87</v>
      </c>
      <c r="H68" s="124">
        <f t="shared" si="4"/>
        <v>-192458.68</v>
      </c>
      <c r="I68" s="106">
        <v>1961</v>
      </c>
      <c r="J68" s="127">
        <v>0.02</v>
      </c>
      <c r="K68" s="103">
        <f t="shared" si="5"/>
        <v>0.16666666666666666</v>
      </c>
      <c r="L68" s="99">
        <v>620</v>
      </c>
    </row>
    <row r="69" spans="1:12" ht="18" customHeight="1">
      <c r="A69">
        <v>63</v>
      </c>
      <c r="B69" s="96" t="s">
        <v>61</v>
      </c>
      <c r="C69" s="1">
        <v>189066.89</v>
      </c>
      <c r="D69">
        <v>1.27</v>
      </c>
      <c r="E69" s="2">
        <v>110102000</v>
      </c>
      <c r="F69" s="2"/>
      <c r="G69" s="48">
        <v>64830.96</v>
      </c>
      <c r="H69" s="100">
        <f t="shared" si="4"/>
        <v>-124235.93000000002</v>
      </c>
      <c r="I69" s="3">
        <v>1961</v>
      </c>
      <c r="J69" s="101">
        <v>0.02</v>
      </c>
      <c r="K69" s="103">
        <f t="shared" si="5"/>
        <v>0.16666666666666666</v>
      </c>
      <c r="L69" s="119">
        <v>400</v>
      </c>
    </row>
    <row r="70" spans="1:12" ht="18" customHeight="1">
      <c r="A70">
        <v>64</v>
      </c>
      <c r="B70" s="96" t="s">
        <v>121</v>
      </c>
      <c r="C70" s="1">
        <v>189066.89</v>
      </c>
      <c r="D70">
        <v>1.27</v>
      </c>
      <c r="E70" s="2">
        <v>110102000</v>
      </c>
      <c r="F70" s="2"/>
      <c r="G70" s="48">
        <v>60029.09</v>
      </c>
      <c r="H70" s="100">
        <f t="shared" si="4"/>
        <v>-129037.80000000002</v>
      </c>
      <c r="I70" s="3">
        <v>1960</v>
      </c>
      <c r="J70" s="101">
        <v>0.02</v>
      </c>
      <c r="K70" s="103">
        <f t="shared" si="5"/>
        <v>0.16666666666666666</v>
      </c>
      <c r="L70" s="99">
        <v>400</v>
      </c>
    </row>
    <row r="71" spans="1:12" ht="18.75" customHeight="1">
      <c r="A71">
        <v>65</v>
      </c>
      <c r="B71" s="95" t="s">
        <v>62</v>
      </c>
      <c r="C71" s="129">
        <v>227323.22</v>
      </c>
      <c r="D71" s="91">
        <v>1.27</v>
      </c>
      <c r="E71" s="2">
        <v>110102000</v>
      </c>
      <c r="F71" s="123"/>
      <c r="G71" s="48">
        <v>77948.79</v>
      </c>
      <c r="H71" s="124">
        <f t="shared" si="4"/>
        <v>-149374.43</v>
      </c>
      <c r="I71" s="106">
        <v>1961</v>
      </c>
      <c r="J71" s="127">
        <v>0.02</v>
      </c>
      <c r="K71" s="103">
        <f t="shared" si="5"/>
        <v>0.16666666666666666</v>
      </c>
      <c r="L71" s="119">
        <v>481</v>
      </c>
    </row>
    <row r="72" spans="1:12" ht="19.5" customHeight="1">
      <c r="A72">
        <v>66</v>
      </c>
      <c r="B72" s="97" t="s">
        <v>63</v>
      </c>
      <c r="C72" s="1">
        <v>184048.47</v>
      </c>
      <c r="D72">
        <v>1.27</v>
      </c>
      <c r="E72" s="2">
        <v>110102000</v>
      </c>
      <c r="F72" s="2"/>
      <c r="G72" s="48">
        <v>63110.11</v>
      </c>
      <c r="H72" s="100">
        <f t="shared" si="4"/>
        <v>-120938.36</v>
      </c>
      <c r="I72" s="3">
        <v>1961</v>
      </c>
      <c r="J72" s="101">
        <v>0.02</v>
      </c>
      <c r="K72" s="103">
        <f t="shared" si="5"/>
        <v>0.16666666666666666</v>
      </c>
      <c r="L72" s="99">
        <v>390</v>
      </c>
    </row>
    <row r="73" spans="1:12" ht="18.75" customHeight="1">
      <c r="A73">
        <v>67</v>
      </c>
      <c r="B73" s="96" t="s">
        <v>64</v>
      </c>
      <c r="C73" s="1">
        <v>174579.74</v>
      </c>
      <c r="D73">
        <v>1.27</v>
      </c>
      <c r="E73" s="2">
        <v>110102000</v>
      </c>
      <c r="F73" s="114"/>
      <c r="G73" s="48">
        <v>50994.31</v>
      </c>
      <c r="H73" s="124">
        <f t="shared" si="4"/>
        <v>-123585.43</v>
      </c>
      <c r="I73" s="106">
        <v>1959</v>
      </c>
      <c r="J73" s="127">
        <v>0.02</v>
      </c>
      <c r="K73" s="103">
        <f t="shared" si="5"/>
        <v>0.16666666666666666</v>
      </c>
      <c r="L73" s="119">
        <v>370</v>
      </c>
    </row>
    <row r="74" spans="1:12" ht="18.75" customHeight="1">
      <c r="A74">
        <v>68</v>
      </c>
      <c r="B74" s="95" t="s">
        <v>65</v>
      </c>
      <c r="C74" s="1">
        <v>191221.03</v>
      </c>
      <c r="D74">
        <v>1.27</v>
      </c>
      <c r="E74" s="2">
        <v>110102000</v>
      </c>
      <c r="F74" s="2"/>
      <c r="G74" s="48">
        <v>65570.1</v>
      </c>
      <c r="H74" s="100">
        <f t="shared" si="4"/>
        <v>-125650.93</v>
      </c>
      <c r="I74" s="3">
        <v>1961</v>
      </c>
      <c r="J74" s="101">
        <v>0.02</v>
      </c>
      <c r="K74" s="103">
        <f t="shared" si="5"/>
        <v>0.16666666666666666</v>
      </c>
      <c r="L74" s="113">
        <v>405</v>
      </c>
    </row>
    <row r="75" spans="1:12" ht="18" customHeight="1">
      <c r="A75">
        <v>69</v>
      </c>
      <c r="B75" s="97" t="s">
        <v>66</v>
      </c>
      <c r="C75" s="129">
        <v>227959.72</v>
      </c>
      <c r="D75" s="91">
        <v>1.27</v>
      </c>
      <c r="E75" s="2">
        <v>110102000</v>
      </c>
      <c r="F75" s="123"/>
      <c r="G75" s="48">
        <v>72377.3</v>
      </c>
      <c r="H75" s="124">
        <f t="shared" si="4"/>
        <v>-155582.41999999998</v>
      </c>
      <c r="I75" s="106">
        <v>1960</v>
      </c>
      <c r="J75" s="127">
        <v>0.02</v>
      </c>
      <c r="K75" s="103">
        <f t="shared" si="5"/>
        <v>0.16666666666666666</v>
      </c>
      <c r="L75" s="99">
        <v>483</v>
      </c>
    </row>
    <row r="76" spans="1:12" ht="20.25" customHeight="1">
      <c r="A76">
        <v>70</v>
      </c>
      <c r="B76" s="96" t="s">
        <v>67</v>
      </c>
      <c r="C76" s="1">
        <v>159027.34</v>
      </c>
      <c r="D76">
        <v>1.27</v>
      </c>
      <c r="E76" s="2">
        <v>110102000</v>
      </c>
      <c r="F76" s="2"/>
      <c r="G76" s="48">
        <v>46451.52</v>
      </c>
      <c r="H76" s="100">
        <f t="shared" si="4"/>
        <v>-112575.82</v>
      </c>
      <c r="I76" s="3">
        <v>1959</v>
      </c>
      <c r="J76" s="101">
        <v>0.02</v>
      </c>
      <c r="K76" s="103">
        <f t="shared" si="5"/>
        <v>0.16666666666666666</v>
      </c>
      <c r="L76" s="119">
        <v>337</v>
      </c>
    </row>
    <row r="77" spans="1:12" ht="19.5" customHeight="1">
      <c r="A77">
        <v>71</v>
      </c>
      <c r="B77" s="97" t="s">
        <v>68</v>
      </c>
      <c r="C77" s="1">
        <v>280037.75</v>
      </c>
      <c r="D77">
        <v>1.27</v>
      </c>
      <c r="E77" s="2">
        <v>110102000</v>
      </c>
      <c r="F77" s="114"/>
      <c r="G77" s="48">
        <v>88911.43</v>
      </c>
      <c r="H77" s="124">
        <f t="shared" si="4"/>
        <v>-191126.32</v>
      </c>
      <c r="I77" s="106">
        <v>1960</v>
      </c>
      <c r="J77" s="127">
        <v>0.02</v>
      </c>
      <c r="K77" s="103">
        <f t="shared" si="5"/>
        <v>0.16666666666666666</v>
      </c>
      <c r="L77" s="99">
        <v>593</v>
      </c>
    </row>
    <row r="78" spans="1:12" ht="18.75" customHeight="1">
      <c r="A78">
        <v>72</v>
      </c>
      <c r="B78" s="96" t="s">
        <v>69</v>
      </c>
      <c r="C78" s="130">
        <v>305650.66</v>
      </c>
      <c r="D78" s="79">
        <v>1.27</v>
      </c>
      <c r="E78" s="2">
        <v>110102000</v>
      </c>
      <c r="F78" s="85"/>
      <c r="G78" s="48">
        <v>97044.51</v>
      </c>
      <c r="H78" s="120">
        <f t="shared" si="4"/>
        <v>-208606.14999999997</v>
      </c>
      <c r="I78" s="112">
        <v>1960</v>
      </c>
      <c r="J78" s="126">
        <v>0.02</v>
      </c>
      <c r="K78" s="103">
        <f t="shared" si="5"/>
        <v>0.16666666666666666</v>
      </c>
      <c r="L78" s="119">
        <v>647</v>
      </c>
    </row>
    <row r="79" spans="1:12" ht="19.5" customHeight="1">
      <c r="A79">
        <v>73</v>
      </c>
      <c r="B79" s="97" t="s">
        <v>70</v>
      </c>
      <c r="C79" s="1">
        <v>318078.37</v>
      </c>
      <c r="D79">
        <v>1.27</v>
      </c>
      <c r="E79" s="2">
        <v>110102000</v>
      </c>
      <c r="F79" s="2"/>
      <c r="G79" s="48">
        <v>92909.39</v>
      </c>
      <c r="H79" s="100">
        <f t="shared" si="4"/>
        <v>-225168.97999999998</v>
      </c>
      <c r="I79" s="3">
        <v>1959</v>
      </c>
      <c r="J79" s="101">
        <v>0.02</v>
      </c>
      <c r="K79" s="103">
        <f t="shared" si="5"/>
        <v>0.16666666666666666</v>
      </c>
      <c r="L79" s="99">
        <v>673</v>
      </c>
    </row>
    <row r="80" spans="1:12" ht="19.5" customHeight="1">
      <c r="A80">
        <v>74</v>
      </c>
      <c r="B80" s="97" t="s">
        <v>71</v>
      </c>
      <c r="C80" s="1">
        <v>313344</v>
      </c>
      <c r="D80">
        <v>1.27</v>
      </c>
      <c r="E80" s="2">
        <v>110102000</v>
      </c>
      <c r="F80" s="2"/>
      <c r="G80" s="48">
        <v>99486.72</v>
      </c>
      <c r="H80" s="100">
        <f t="shared" si="4"/>
        <v>-213857.28</v>
      </c>
      <c r="I80" s="3">
        <v>1960</v>
      </c>
      <c r="J80" s="101">
        <v>0.02</v>
      </c>
      <c r="K80" s="103">
        <f t="shared" si="5"/>
        <v>0.16666666666666666</v>
      </c>
      <c r="L80" s="99">
        <v>663</v>
      </c>
    </row>
    <row r="81" spans="1:12" ht="17.25" customHeight="1">
      <c r="A81">
        <v>75</v>
      </c>
      <c r="B81" s="96" t="s">
        <v>72</v>
      </c>
      <c r="C81" s="1">
        <v>264532.69</v>
      </c>
      <c r="D81">
        <v>1.27</v>
      </c>
      <c r="E81" s="2">
        <v>110102000</v>
      </c>
      <c r="F81" s="114"/>
      <c r="G81" s="48">
        <v>77270.61</v>
      </c>
      <c r="H81" s="124">
        <f t="shared" si="4"/>
        <v>-187262.08000000002</v>
      </c>
      <c r="I81" s="106">
        <v>1959</v>
      </c>
      <c r="J81" s="127">
        <v>0.02</v>
      </c>
      <c r="K81" s="103">
        <f t="shared" si="5"/>
        <v>0.16666666666666666</v>
      </c>
      <c r="L81" s="119">
        <v>560</v>
      </c>
    </row>
    <row r="82" spans="1:12" ht="20.25" customHeight="1">
      <c r="A82">
        <v>76</v>
      </c>
      <c r="B82" s="97" t="s">
        <v>73</v>
      </c>
      <c r="C82" s="1">
        <v>350887.53</v>
      </c>
      <c r="D82">
        <v>1.27</v>
      </c>
      <c r="E82" s="2">
        <v>110102000</v>
      </c>
      <c r="F82" s="2"/>
      <c r="G82" s="48">
        <v>119141.24</v>
      </c>
      <c r="H82" s="100">
        <f t="shared" si="4"/>
        <v>-231746.29000000004</v>
      </c>
      <c r="I82" s="3">
        <v>1960</v>
      </c>
      <c r="J82" s="101">
        <v>0.02</v>
      </c>
      <c r="K82" s="103">
        <f t="shared" si="5"/>
        <v>0.16666666666666666</v>
      </c>
      <c r="L82" s="99">
        <v>743</v>
      </c>
    </row>
    <row r="83" spans="1:12" ht="17.25" customHeight="1">
      <c r="A83">
        <v>77</v>
      </c>
      <c r="B83" s="96" t="s">
        <v>74</v>
      </c>
      <c r="C83" s="1">
        <v>290524.36</v>
      </c>
      <c r="D83">
        <v>1.27</v>
      </c>
      <c r="E83" s="2">
        <v>110102000</v>
      </c>
      <c r="F83" s="114"/>
      <c r="G83" s="48">
        <v>70104</v>
      </c>
      <c r="H83" s="124">
        <f t="shared" si="4"/>
        <v>-220420.36</v>
      </c>
      <c r="I83" s="106">
        <v>1957</v>
      </c>
      <c r="J83" s="127">
        <v>0.02</v>
      </c>
      <c r="K83" s="118">
        <f t="shared" si="5"/>
        <v>0.16666666666666666</v>
      </c>
      <c r="L83" s="119">
        <v>0</v>
      </c>
    </row>
    <row r="84" spans="1:12" ht="18" customHeight="1">
      <c r="A84">
        <v>78</v>
      </c>
      <c r="B84" s="97" t="s">
        <v>75</v>
      </c>
      <c r="C84" s="1">
        <v>285790</v>
      </c>
      <c r="D84">
        <v>1.27</v>
      </c>
      <c r="E84" s="2">
        <v>110102000</v>
      </c>
      <c r="F84" s="2"/>
      <c r="G84" s="48">
        <v>90738.96</v>
      </c>
      <c r="H84" s="100">
        <f t="shared" si="4"/>
        <v>-195051.03999999998</v>
      </c>
      <c r="I84" s="3">
        <v>1960</v>
      </c>
      <c r="J84" s="101">
        <v>0.02</v>
      </c>
      <c r="K84" s="102">
        <f t="shared" si="5"/>
        <v>0.16666666666666666</v>
      </c>
      <c r="L84" s="99">
        <v>605</v>
      </c>
    </row>
    <row r="85" spans="1:12" ht="17.25" customHeight="1">
      <c r="A85">
        <v>79</v>
      </c>
      <c r="B85" s="96" t="s">
        <v>76</v>
      </c>
      <c r="C85" s="1">
        <v>290313.24</v>
      </c>
      <c r="D85">
        <v>1.27</v>
      </c>
      <c r="E85" s="2">
        <v>110102000</v>
      </c>
      <c r="F85" s="114"/>
      <c r="G85" s="48">
        <v>91916.25</v>
      </c>
      <c r="H85" s="124">
        <f t="shared" si="4"/>
        <v>-198396.99</v>
      </c>
      <c r="I85" s="106">
        <v>1960</v>
      </c>
      <c r="J85" s="127">
        <v>0.02</v>
      </c>
      <c r="K85" s="103">
        <f t="shared" si="5"/>
        <v>0.16666666666666666</v>
      </c>
      <c r="L85" s="119">
        <v>614</v>
      </c>
    </row>
    <row r="86" spans="1:12" ht="18" customHeight="1">
      <c r="A86">
        <v>80</v>
      </c>
      <c r="B86" s="97" t="s">
        <v>77</v>
      </c>
      <c r="C86" s="1">
        <v>291305.53</v>
      </c>
      <c r="D86">
        <v>1.27</v>
      </c>
      <c r="E86" s="2">
        <v>110102000</v>
      </c>
      <c r="F86" s="2"/>
      <c r="G86" s="48">
        <v>92489.02</v>
      </c>
      <c r="H86" s="100">
        <f t="shared" si="4"/>
        <v>-198816.51</v>
      </c>
      <c r="I86" s="3">
        <v>1960</v>
      </c>
      <c r="J86" s="101">
        <v>0.02</v>
      </c>
      <c r="K86" s="103">
        <f t="shared" si="5"/>
        <v>0.16666666666666666</v>
      </c>
      <c r="L86" s="99">
        <v>617</v>
      </c>
    </row>
    <row r="87" spans="1:12" ht="18" customHeight="1">
      <c r="A87">
        <v>81</v>
      </c>
      <c r="B87" s="96" t="s">
        <v>78</v>
      </c>
      <c r="C87" s="1">
        <v>290524.36</v>
      </c>
      <c r="D87">
        <v>1.27</v>
      </c>
      <c r="E87" s="2">
        <v>110102000</v>
      </c>
      <c r="F87" s="114"/>
      <c r="G87" s="48">
        <v>70104</v>
      </c>
      <c r="H87" s="124">
        <f t="shared" si="4"/>
        <v>-220420.36</v>
      </c>
      <c r="I87" s="106">
        <v>1957</v>
      </c>
      <c r="J87" s="127">
        <v>0.02</v>
      </c>
      <c r="K87" s="103">
        <f t="shared" si="5"/>
        <v>0.16666666666666666</v>
      </c>
      <c r="L87" s="117">
        <v>0</v>
      </c>
    </row>
    <row r="88" spans="1:12" ht="18" customHeight="1">
      <c r="A88">
        <v>82</v>
      </c>
      <c r="B88" s="97" t="s">
        <v>79</v>
      </c>
      <c r="C88" s="1">
        <v>221426.29</v>
      </c>
      <c r="D88">
        <v>1.27</v>
      </c>
      <c r="E88" s="2">
        <v>110102000</v>
      </c>
      <c r="F88" s="2"/>
      <c r="G88" s="48">
        <v>70303.39</v>
      </c>
      <c r="H88" s="100">
        <f t="shared" si="4"/>
        <v>-151122.90000000002</v>
      </c>
      <c r="I88" s="3">
        <v>1960</v>
      </c>
      <c r="J88" s="101">
        <v>0.02</v>
      </c>
      <c r="K88" s="103">
        <f t="shared" si="5"/>
        <v>0.16666666666666666</v>
      </c>
      <c r="L88" s="99">
        <v>469</v>
      </c>
    </row>
    <row r="89" spans="1:12" ht="19.5" customHeight="1">
      <c r="A89">
        <v>83</v>
      </c>
      <c r="B89" s="96" t="s">
        <v>80</v>
      </c>
      <c r="C89" s="1">
        <v>221426.29</v>
      </c>
      <c r="D89">
        <v>1.27</v>
      </c>
      <c r="E89" s="2">
        <v>110102000</v>
      </c>
      <c r="F89" s="114"/>
      <c r="G89" s="48">
        <v>75926.95</v>
      </c>
      <c r="H89" s="124">
        <f t="shared" si="4"/>
        <v>-145499.34000000003</v>
      </c>
      <c r="I89" s="106">
        <v>1961</v>
      </c>
      <c r="J89" s="127">
        <v>0.02</v>
      </c>
      <c r="K89" s="103">
        <f t="shared" si="5"/>
        <v>0.16666666666666666</v>
      </c>
      <c r="L89" s="119">
        <v>469</v>
      </c>
    </row>
    <row r="90" spans="1:12" ht="20.25" customHeight="1">
      <c r="A90">
        <v>84</v>
      </c>
      <c r="B90" s="97" t="s">
        <v>81</v>
      </c>
      <c r="C90" s="1">
        <v>231699.86</v>
      </c>
      <c r="D90">
        <v>1.27</v>
      </c>
      <c r="E90" s="2">
        <v>110102000</v>
      </c>
      <c r="F90" s="2"/>
      <c r="G90" s="48">
        <v>79449.93</v>
      </c>
      <c r="H90" s="100">
        <f t="shared" si="4"/>
        <v>-152249.93</v>
      </c>
      <c r="I90" s="3">
        <v>1961</v>
      </c>
      <c r="J90" s="101">
        <v>0.02</v>
      </c>
      <c r="K90" s="103">
        <f t="shared" si="5"/>
        <v>0.16666666666666666</v>
      </c>
      <c r="L90" s="99">
        <v>490</v>
      </c>
    </row>
    <row r="91" spans="1:12" ht="18" customHeight="1">
      <c r="A91">
        <v>85</v>
      </c>
      <c r="B91" s="96" t="s">
        <v>82</v>
      </c>
      <c r="C91" s="129">
        <v>263029.13</v>
      </c>
      <c r="D91" s="91">
        <v>1.27</v>
      </c>
      <c r="E91" s="2">
        <v>110102000</v>
      </c>
      <c r="F91" s="123"/>
      <c r="G91" s="48">
        <v>90192.86</v>
      </c>
      <c r="H91" s="124">
        <f t="shared" si="4"/>
        <v>-172836.27000000002</v>
      </c>
      <c r="I91" s="106">
        <v>1961</v>
      </c>
      <c r="J91" s="127">
        <v>0.02</v>
      </c>
      <c r="K91" s="103">
        <f t="shared" si="5"/>
        <v>0.16666666666666666</v>
      </c>
      <c r="L91" s="119">
        <v>557</v>
      </c>
    </row>
    <row r="92" spans="1:12" ht="18.75" customHeight="1">
      <c r="A92">
        <v>86</v>
      </c>
      <c r="B92" s="95" t="s">
        <v>83</v>
      </c>
      <c r="C92" s="1">
        <v>311189.87</v>
      </c>
      <c r="D92">
        <v>1.27</v>
      </c>
      <c r="E92" s="2">
        <v>110102000</v>
      </c>
      <c r="F92" s="2"/>
      <c r="G92" s="48">
        <v>98803.46</v>
      </c>
      <c r="H92" s="100">
        <f t="shared" si="4"/>
        <v>-212386.40999999997</v>
      </c>
      <c r="I92" s="3">
        <v>1960</v>
      </c>
      <c r="J92" s="101">
        <v>0.02</v>
      </c>
      <c r="K92" s="103">
        <f t="shared" si="5"/>
        <v>0.16666666666666666</v>
      </c>
      <c r="L92" s="113">
        <v>659</v>
      </c>
    </row>
    <row r="93" spans="1:12" ht="18.75" customHeight="1">
      <c r="A93">
        <v>87</v>
      </c>
      <c r="B93" s="95" t="s">
        <v>84</v>
      </c>
      <c r="C93" s="1">
        <v>236718.3</v>
      </c>
      <c r="D93">
        <v>1.27</v>
      </c>
      <c r="E93" s="2">
        <v>110102000</v>
      </c>
      <c r="F93" s="114"/>
      <c r="G93" s="48">
        <v>81169.51</v>
      </c>
      <c r="H93" s="124">
        <f t="shared" si="4"/>
        <v>-155548.78999999998</v>
      </c>
      <c r="I93" s="106">
        <v>1961</v>
      </c>
      <c r="J93" s="127">
        <v>0.02</v>
      </c>
      <c r="K93" s="103">
        <f t="shared" si="5"/>
        <v>0.16666666666666666</v>
      </c>
      <c r="L93" s="99">
        <v>501</v>
      </c>
    </row>
    <row r="94" spans="1:12" ht="18.75" customHeight="1">
      <c r="A94">
        <v>88</v>
      </c>
      <c r="B94" s="97" t="s">
        <v>85</v>
      </c>
      <c r="C94" s="1">
        <v>266402.77</v>
      </c>
      <c r="D94">
        <v>1.27</v>
      </c>
      <c r="E94" s="2">
        <v>110102000</v>
      </c>
      <c r="F94" s="2"/>
      <c r="G94" s="48">
        <v>91349.83</v>
      </c>
      <c r="H94" s="100">
        <f t="shared" si="4"/>
        <v>-175052.94</v>
      </c>
      <c r="I94" s="3">
        <v>1961</v>
      </c>
      <c r="J94" s="101">
        <v>0.02</v>
      </c>
      <c r="K94" s="103">
        <f t="shared" si="5"/>
        <v>0.16666666666666666</v>
      </c>
      <c r="L94" s="119">
        <v>564</v>
      </c>
    </row>
    <row r="95" spans="1:12" ht="19.5" customHeight="1">
      <c r="A95">
        <v>89</v>
      </c>
      <c r="B95" s="96" t="s">
        <v>86</v>
      </c>
      <c r="C95" s="1">
        <v>269267.06</v>
      </c>
      <c r="D95">
        <v>1.27</v>
      </c>
      <c r="E95" s="2">
        <v>110102000</v>
      </c>
      <c r="F95" s="114"/>
      <c r="G95" s="48">
        <v>78652.37</v>
      </c>
      <c r="H95" s="124">
        <f t="shared" si="4"/>
        <v>-190614.69</v>
      </c>
      <c r="I95" s="106">
        <v>1959</v>
      </c>
      <c r="J95" s="127">
        <v>0.02</v>
      </c>
      <c r="K95" s="103">
        <f t="shared" si="5"/>
        <v>0.16666666666666666</v>
      </c>
      <c r="L95" s="99">
        <v>570</v>
      </c>
    </row>
    <row r="96" spans="1:12" ht="19.5" customHeight="1">
      <c r="A96">
        <v>90</v>
      </c>
      <c r="B96" s="97" t="s">
        <v>87</v>
      </c>
      <c r="C96" s="1">
        <v>274900.96</v>
      </c>
      <c r="D96">
        <v>1.27</v>
      </c>
      <c r="E96" s="2">
        <v>110102000</v>
      </c>
      <c r="F96" s="2"/>
      <c r="G96" s="48">
        <v>94263.21</v>
      </c>
      <c r="H96" s="100">
        <f aca="true" t="shared" si="6" ref="H96:H127">G96-C96</f>
        <v>-180637.75</v>
      </c>
      <c r="I96" s="3">
        <v>1961</v>
      </c>
      <c r="J96" s="101">
        <v>0.02</v>
      </c>
      <c r="K96" s="103">
        <f aca="true" t="shared" si="7" ref="K96:K128">2/12</f>
        <v>0.16666666666666666</v>
      </c>
      <c r="L96" s="119">
        <v>582</v>
      </c>
    </row>
    <row r="97" spans="1:12" ht="19.5" customHeight="1">
      <c r="A97">
        <v>91</v>
      </c>
      <c r="B97" s="96" t="s">
        <v>88</v>
      </c>
      <c r="C97" s="1">
        <v>280274.47</v>
      </c>
      <c r="D97">
        <v>1.27</v>
      </c>
      <c r="E97" s="2">
        <v>110102000</v>
      </c>
      <c r="F97" s="114"/>
      <c r="G97" s="48">
        <v>96105.98</v>
      </c>
      <c r="H97" s="124">
        <f t="shared" si="6"/>
        <v>-184168.49</v>
      </c>
      <c r="I97" s="106">
        <v>1961</v>
      </c>
      <c r="J97" s="127">
        <v>0.02</v>
      </c>
      <c r="K97" s="103">
        <f t="shared" si="7"/>
        <v>0.16666666666666666</v>
      </c>
      <c r="L97" s="99">
        <v>593</v>
      </c>
    </row>
    <row r="98" spans="1:12" ht="18.75" customHeight="1">
      <c r="A98">
        <v>92</v>
      </c>
      <c r="B98" s="97" t="s">
        <v>89</v>
      </c>
      <c r="C98" s="1">
        <v>280274.47</v>
      </c>
      <c r="D98">
        <v>1.27</v>
      </c>
      <c r="E98" s="2">
        <v>110102000</v>
      </c>
      <c r="F98" s="2"/>
      <c r="G98" s="48">
        <v>88987.63</v>
      </c>
      <c r="H98" s="100">
        <f t="shared" si="6"/>
        <v>-191286.83999999997</v>
      </c>
      <c r="I98" s="3">
        <v>1960</v>
      </c>
      <c r="J98" s="101">
        <v>0.02</v>
      </c>
      <c r="K98" s="103">
        <f t="shared" si="7"/>
        <v>0.16666666666666666</v>
      </c>
      <c r="L98" s="119">
        <v>593</v>
      </c>
    </row>
    <row r="99" spans="1:12" ht="18.75" customHeight="1">
      <c r="A99">
        <v>93</v>
      </c>
      <c r="B99" s="96" t="s">
        <v>90</v>
      </c>
      <c r="C99" s="122">
        <v>223438.39</v>
      </c>
      <c r="D99" s="91">
        <v>1.27</v>
      </c>
      <c r="E99" s="2">
        <v>110102000</v>
      </c>
      <c r="F99" s="123"/>
      <c r="G99" s="48">
        <v>76616.56</v>
      </c>
      <c r="H99" s="124">
        <f t="shared" si="6"/>
        <v>-146821.83000000002</v>
      </c>
      <c r="I99" s="106">
        <v>1961</v>
      </c>
      <c r="J99" s="127">
        <v>0.02</v>
      </c>
      <c r="K99" s="103">
        <f t="shared" si="7"/>
        <v>0.16666666666666666</v>
      </c>
      <c r="L99" s="99">
        <v>473</v>
      </c>
    </row>
    <row r="100" spans="1:12" ht="20.25" customHeight="1">
      <c r="A100">
        <v>94</v>
      </c>
      <c r="B100" s="97" t="s">
        <v>91</v>
      </c>
      <c r="C100" s="1">
        <v>274900.96</v>
      </c>
      <c r="D100">
        <v>1.27</v>
      </c>
      <c r="E100" s="2">
        <v>110102000</v>
      </c>
      <c r="F100" s="2"/>
      <c r="G100" s="48">
        <v>87280.75</v>
      </c>
      <c r="H100" s="100">
        <f t="shared" si="6"/>
        <v>-187620.21000000002</v>
      </c>
      <c r="I100" s="3">
        <v>1960</v>
      </c>
      <c r="J100" s="101">
        <v>0.02</v>
      </c>
      <c r="K100" s="103">
        <f t="shared" si="7"/>
        <v>0.16666666666666666</v>
      </c>
      <c r="L100" s="119">
        <v>582</v>
      </c>
    </row>
    <row r="101" spans="1:12" ht="18.75" customHeight="1">
      <c r="A101">
        <v>95</v>
      </c>
      <c r="B101" s="96" t="s">
        <v>92</v>
      </c>
      <c r="C101" s="1">
        <v>274900.96</v>
      </c>
      <c r="D101">
        <v>1.27</v>
      </c>
      <c r="E101" s="2">
        <v>110102000</v>
      </c>
      <c r="F101" s="114"/>
      <c r="G101" s="48">
        <v>87280.75</v>
      </c>
      <c r="H101" s="124">
        <f t="shared" si="6"/>
        <v>-187620.21000000002</v>
      </c>
      <c r="I101" s="106">
        <v>1960</v>
      </c>
      <c r="J101" s="127">
        <v>0.02</v>
      </c>
      <c r="K101" s="103">
        <f t="shared" si="7"/>
        <v>0.16666666666666666</v>
      </c>
      <c r="L101" s="99">
        <v>582</v>
      </c>
    </row>
    <row r="102" spans="1:12" ht="18.75" customHeight="1">
      <c r="A102">
        <v>96</v>
      </c>
      <c r="B102" s="97" t="s">
        <v>114</v>
      </c>
      <c r="C102" s="1">
        <v>274900.96</v>
      </c>
      <c r="D102">
        <v>1.27</v>
      </c>
      <c r="E102" s="2">
        <v>110102000</v>
      </c>
      <c r="F102" s="2"/>
      <c r="G102" s="48">
        <v>94263.21</v>
      </c>
      <c r="H102" s="100">
        <f t="shared" si="6"/>
        <v>-180637.75</v>
      </c>
      <c r="I102" s="3">
        <v>1961</v>
      </c>
      <c r="J102" s="101">
        <v>0.02</v>
      </c>
      <c r="K102" s="103">
        <f t="shared" si="7"/>
        <v>0.16666666666666666</v>
      </c>
      <c r="L102" s="119">
        <v>582</v>
      </c>
    </row>
    <row r="103" spans="1:12" ht="20.25" customHeight="1">
      <c r="A103">
        <v>97</v>
      </c>
      <c r="B103" s="96" t="s">
        <v>93</v>
      </c>
      <c r="C103" s="1">
        <v>243086</v>
      </c>
      <c r="D103">
        <v>1.27</v>
      </c>
      <c r="E103" s="2">
        <v>110102000</v>
      </c>
      <c r="F103" s="114"/>
      <c r="G103" s="48">
        <v>83353.91</v>
      </c>
      <c r="H103" s="124">
        <f t="shared" si="6"/>
        <v>-159732.09</v>
      </c>
      <c r="I103" s="106">
        <v>1961</v>
      </c>
      <c r="J103" s="127">
        <v>0.02</v>
      </c>
      <c r="K103" s="103">
        <f t="shared" si="7"/>
        <v>0.16666666666666666</v>
      </c>
      <c r="L103" s="99">
        <v>515</v>
      </c>
    </row>
    <row r="104" spans="1:12" ht="18" customHeight="1">
      <c r="A104">
        <v>98</v>
      </c>
      <c r="B104" s="95" t="s">
        <v>94</v>
      </c>
      <c r="C104" s="1">
        <v>269006.67</v>
      </c>
      <c r="D104">
        <v>1.27</v>
      </c>
      <c r="E104" s="2">
        <v>110102000</v>
      </c>
      <c r="F104" s="2"/>
      <c r="G104" s="48">
        <v>99075.24</v>
      </c>
      <c r="H104" s="100">
        <f t="shared" si="6"/>
        <v>-169931.43</v>
      </c>
      <c r="I104" s="3">
        <v>1962</v>
      </c>
      <c r="J104" s="101">
        <v>0.02</v>
      </c>
      <c r="K104" s="118">
        <f t="shared" si="7"/>
        <v>0.16666666666666666</v>
      </c>
      <c r="L104" s="119">
        <v>569</v>
      </c>
    </row>
    <row r="105" spans="1:12" ht="19.5" customHeight="1">
      <c r="A105">
        <v>99</v>
      </c>
      <c r="B105" s="96" t="s">
        <v>95</v>
      </c>
      <c r="C105" s="1">
        <v>305011.52</v>
      </c>
      <c r="D105">
        <v>1.27</v>
      </c>
      <c r="E105" s="2">
        <v>110102000</v>
      </c>
      <c r="F105" s="114"/>
      <c r="G105" s="48">
        <v>104588.31</v>
      </c>
      <c r="H105" s="124">
        <f t="shared" si="6"/>
        <v>-200423.21000000002</v>
      </c>
      <c r="I105" s="106">
        <v>1961</v>
      </c>
      <c r="J105" s="127">
        <v>0.02</v>
      </c>
      <c r="K105" s="102">
        <f t="shared" si="7"/>
        <v>0.16666666666666666</v>
      </c>
      <c r="L105" s="113">
        <v>646</v>
      </c>
    </row>
    <row r="106" spans="1:12" ht="18" customHeight="1">
      <c r="A106">
        <v>100</v>
      </c>
      <c r="B106" s="97" t="s">
        <v>96</v>
      </c>
      <c r="C106" s="1">
        <v>308775.34</v>
      </c>
      <c r="D106">
        <v>1.27</v>
      </c>
      <c r="E106" s="2">
        <v>110102000</v>
      </c>
      <c r="F106" s="2"/>
      <c r="G106" s="48">
        <v>98036.38</v>
      </c>
      <c r="H106" s="100">
        <f t="shared" si="6"/>
        <v>-210738.96000000002</v>
      </c>
      <c r="I106" s="3">
        <v>1960</v>
      </c>
      <c r="J106" s="101">
        <v>0.02</v>
      </c>
      <c r="K106" s="103">
        <f t="shared" si="7"/>
        <v>0.16666666666666666</v>
      </c>
      <c r="L106" s="99">
        <v>654</v>
      </c>
    </row>
    <row r="107" spans="1:12" ht="19.5" customHeight="1">
      <c r="A107">
        <v>101</v>
      </c>
      <c r="B107" s="96" t="s">
        <v>97</v>
      </c>
      <c r="C107" s="1">
        <v>308775.34</v>
      </c>
      <c r="D107">
        <v>1.27</v>
      </c>
      <c r="E107" s="2">
        <v>110102000</v>
      </c>
      <c r="F107" s="114"/>
      <c r="G107" s="48">
        <v>98036.38</v>
      </c>
      <c r="H107" s="124">
        <f t="shared" si="6"/>
        <v>-210738.96000000002</v>
      </c>
      <c r="I107" s="106">
        <v>1960</v>
      </c>
      <c r="J107" s="127">
        <v>0.02</v>
      </c>
      <c r="K107" s="103">
        <f t="shared" si="7"/>
        <v>0.16666666666666666</v>
      </c>
      <c r="L107" s="119">
        <v>654</v>
      </c>
    </row>
    <row r="108" spans="1:12" ht="18" customHeight="1">
      <c r="A108">
        <v>102</v>
      </c>
      <c r="B108" s="95" t="s">
        <v>98</v>
      </c>
      <c r="C108" s="1">
        <v>231699.86</v>
      </c>
      <c r="D108">
        <v>1.27</v>
      </c>
      <c r="E108" s="2">
        <v>110102000</v>
      </c>
      <c r="F108" s="2"/>
      <c r="G108" s="48">
        <v>61794.39</v>
      </c>
      <c r="H108" s="100">
        <f t="shared" si="6"/>
        <v>-169905.46999999997</v>
      </c>
      <c r="I108" s="3">
        <v>1958</v>
      </c>
      <c r="J108" s="101">
        <v>0.02</v>
      </c>
      <c r="K108" s="103">
        <f t="shared" si="7"/>
        <v>0.16666666666666666</v>
      </c>
      <c r="L108" s="99">
        <v>0</v>
      </c>
    </row>
    <row r="109" spans="1:12" ht="18" customHeight="1">
      <c r="A109">
        <v>103</v>
      </c>
      <c r="B109" s="97" t="s">
        <v>122</v>
      </c>
      <c r="C109" s="1">
        <v>307331.36</v>
      </c>
      <c r="D109">
        <v>1.27</v>
      </c>
      <c r="E109" s="2">
        <v>110102000</v>
      </c>
      <c r="F109" s="114"/>
      <c r="G109" s="48">
        <v>58547</v>
      </c>
      <c r="H109" s="124">
        <f t="shared" si="6"/>
        <v>-248784.36</v>
      </c>
      <c r="I109" s="106">
        <v>1955</v>
      </c>
      <c r="J109" s="127">
        <v>0.02</v>
      </c>
      <c r="K109" s="103">
        <f t="shared" si="7"/>
        <v>0.16666666666666666</v>
      </c>
      <c r="L109" s="117">
        <v>0</v>
      </c>
    </row>
    <row r="110" spans="1:12" ht="18" customHeight="1">
      <c r="A110">
        <v>104</v>
      </c>
      <c r="B110" s="96" t="s">
        <v>122</v>
      </c>
      <c r="C110" s="1">
        <v>296513.33</v>
      </c>
      <c r="D110">
        <v>1.27</v>
      </c>
      <c r="E110" s="2">
        <v>110102000</v>
      </c>
      <c r="F110" s="2"/>
      <c r="G110" s="48">
        <v>56485.79</v>
      </c>
      <c r="H110" s="100">
        <f t="shared" si="6"/>
        <v>-240027.54</v>
      </c>
      <c r="I110" s="3">
        <v>1955</v>
      </c>
      <c r="J110" s="101">
        <v>0.02</v>
      </c>
      <c r="K110" s="103">
        <f t="shared" si="7"/>
        <v>0.16666666666666666</v>
      </c>
      <c r="L110" s="117">
        <v>0</v>
      </c>
    </row>
    <row r="111" spans="1:12" ht="19.5" customHeight="1">
      <c r="A111">
        <v>105</v>
      </c>
      <c r="B111" s="97" t="s">
        <v>99</v>
      </c>
      <c r="C111" s="1">
        <v>854138.46</v>
      </c>
      <c r="D111">
        <v>1.27</v>
      </c>
      <c r="E111" s="2">
        <v>110102000</v>
      </c>
      <c r="F111" s="114"/>
      <c r="G111" s="48">
        <v>900347.45</v>
      </c>
      <c r="H111" s="124">
        <f t="shared" si="6"/>
        <v>46208.98999999999</v>
      </c>
      <c r="I111" s="106">
        <v>1989</v>
      </c>
      <c r="J111" s="127">
        <v>0.02</v>
      </c>
      <c r="K111" s="118">
        <f t="shared" si="7"/>
        <v>0.16666666666666666</v>
      </c>
      <c r="L111" s="119">
        <v>1808</v>
      </c>
    </row>
    <row r="112" spans="1:12" ht="19.5" customHeight="1">
      <c r="A112">
        <v>106</v>
      </c>
      <c r="B112" s="96" t="s">
        <v>100</v>
      </c>
      <c r="C112" s="1">
        <v>659365.17</v>
      </c>
      <c r="D112">
        <v>1.27</v>
      </c>
      <c r="E112" s="2">
        <v>110102000</v>
      </c>
      <c r="F112" s="2"/>
      <c r="G112" s="48">
        <v>644792.97</v>
      </c>
      <c r="H112" s="100">
        <f t="shared" si="6"/>
        <v>-14572.20000000007</v>
      </c>
      <c r="I112" s="3">
        <v>1986</v>
      </c>
      <c r="J112" s="101">
        <v>0.02</v>
      </c>
      <c r="K112" s="118">
        <f t="shared" si="7"/>
        <v>0.16666666666666666</v>
      </c>
      <c r="L112" s="119">
        <v>1396</v>
      </c>
    </row>
    <row r="113" spans="1:12" ht="19.5" customHeight="1">
      <c r="A113">
        <v>107</v>
      </c>
      <c r="B113" s="97" t="s">
        <v>101</v>
      </c>
      <c r="C113" s="1">
        <v>638516.42</v>
      </c>
      <c r="D113">
        <v>1.27</v>
      </c>
      <c r="E113" s="2">
        <v>110102000</v>
      </c>
      <c r="F113" s="114"/>
      <c r="G113" s="48">
        <v>608186.49</v>
      </c>
      <c r="H113" s="124">
        <f t="shared" si="6"/>
        <v>-30329.93000000005</v>
      </c>
      <c r="I113" s="106">
        <v>1985</v>
      </c>
      <c r="J113" s="127">
        <v>0.02</v>
      </c>
      <c r="K113" s="102">
        <f t="shared" si="7"/>
        <v>0.16666666666666666</v>
      </c>
      <c r="L113" s="99">
        <v>1352</v>
      </c>
    </row>
    <row r="114" spans="1:12" ht="20.25" customHeight="1">
      <c r="A114">
        <v>108</v>
      </c>
      <c r="B114" s="96" t="s">
        <v>102</v>
      </c>
      <c r="C114" s="1">
        <v>176852.24</v>
      </c>
      <c r="D114">
        <v>1.27</v>
      </c>
      <c r="E114" s="2">
        <v>110102000</v>
      </c>
      <c r="F114" s="2"/>
      <c r="G114" s="48">
        <v>101071.68</v>
      </c>
      <c r="H114" s="100">
        <f t="shared" si="6"/>
        <v>-75780.56</v>
      </c>
      <c r="I114" s="3">
        <v>1970</v>
      </c>
      <c r="J114" s="101">
        <v>0.02</v>
      </c>
      <c r="K114" s="103">
        <f t="shared" si="7"/>
        <v>0.16666666666666666</v>
      </c>
      <c r="L114" s="119">
        <v>374</v>
      </c>
    </row>
    <row r="115" spans="1:12" ht="21" customHeight="1">
      <c r="A115">
        <v>109</v>
      </c>
      <c r="B115" s="97" t="s">
        <v>103</v>
      </c>
      <c r="C115" s="129">
        <v>176852.24</v>
      </c>
      <c r="D115" s="91">
        <v>1.27</v>
      </c>
      <c r="E115" s="2">
        <v>110102000</v>
      </c>
      <c r="F115" s="123"/>
      <c r="G115" s="48">
        <v>101071.68</v>
      </c>
      <c r="H115" s="124">
        <f t="shared" si="6"/>
        <v>-75780.56</v>
      </c>
      <c r="I115" s="106">
        <v>1970</v>
      </c>
      <c r="J115" s="127">
        <v>0.02</v>
      </c>
      <c r="K115" s="103">
        <f t="shared" si="7"/>
        <v>0.16666666666666666</v>
      </c>
      <c r="L115" s="99">
        <v>374</v>
      </c>
    </row>
    <row r="116" spans="1:12" ht="18" customHeight="1">
      <c r="A116">
        <v>110</v>
      </c>
      <c r="B116" s="96" t="s">
        <v>104</v>
      </c>
      <c r="C116" s="1">
        <v>142693.78</v>
      </c>
      <c r="D116">
        <v>1.27</v>
      </c>
      <c r="E116" s="2">
        <v>110102000</v>
      </c>
      <c r="F116" s="2"/>
      <c r="G116" s="48">
        <v>45304.71</v>
      </c>
      <c r="H116" s="100">
        <f t="shared" si="6"/>
        <v>-97389.07</v>
      </c>
      <c r="I116" s="3">
        <v>1960</v>
      </c>
      <c r="J116" s="105">
        <v>0.012</v>
      </c>
      <c r="K116" s="103">
        <f t="shared" si="7"/>
        <v>0.16666666666666666</v>
      </c>
      <c r="L116" s="119">
        <v>181</v>
      </c>
    </row>
    <row r="117" spans="1:12" ht="18.75" customHeight="1">
      <c r="A117">
        <v>111</v>
      </c>
      <c r="B117" s="97" t="s">
        <v>105</v>
      </c>
      <c r="C117" s="1">
        <v>148824.78</v>
      </c>
      <c r="D117">
        <v>1.27</v>
      </c>
      <c r="E117" s="2">
        <v>110102000</v>
      </c>
      <c r="F117" s="114"/>
      <c r="G117" s="48">
        <v>47251.62</v>
      </c>
      <c r="H117" s="124">
        <f t="shared" si="6"/>
        <v>-101573.16</v>
      </c>
      <c r="I117" s="106">
        <v>1960</v>
      </c>
      <c r="J117" s="128">
        <v>0.012</v>
      </c>
      <c r="K117" s="103">
        <f t="shared" si="7"/>
        <v>0.16666666666666666</v>
      </c>
      <c r="L117" s="119">
        <v>189</v>
      </c>
    </row>
    <row r="118" spans="1:12" ht="20.25" customHeight="1">
      <c r="A118">
        <v>112</v>
      </c>
      <c r="B118" s="96" t="s">
        <v>106</v>
      </c>
      <c r="C118" s="1">
        <v>142693.78</v>
      </c>
      <c r="D118">
        <v>1.27</v>
      </c>
      <c r="E118" s="2">
        <v>110102000</v>
      </c>
      <c r="F118" s="2"/>
      <c r="G118" s="48">
        <v>45304.71</v>
      </c>
      <c r="H118" s="100">
        <f t="shared" si="6"/>
        <v>-97389.07</v>
      </c>
      <c r="I118" s="3">
        <v>1960</v>
      </c>
      <c r="J118" s="105">
        <v>0.012</v>
      </c>
      <c r="K118" s="103">
        <f t="shared" si="7"/>
        <v>0.16666666666666666</v>
      </c>
      <c r="L118" s="113">
        <v>181</v>
      </c>
    </row>
    <row r="119" spans="1:12" ht="20.25" customHeight="1">
      <c r="A119">
        <v>113</v>
      </c>
      <c r="B119" s="97" t="s">
        <v>107</v>
      </c>
      <c r="C119" s="1">
        <v>602046.7</v>
      </c>
      <c r="D119">
        <v>1.27</v>
      </c>
      <c r="E119" s="2">
        <v>110102000</v>
      </c>
      <c r="F119" s="114"/>
      <c r="G119" s="48">
        <v>527574.51</v>
      </c>
      <c r="H119" s="124">
        <f t="shared" si="6"/>
        <v>-74472.18999999994</v>
      </c>
      <c r="I119" s="106">
        <v>1982</v>
      </c>
      <c r="J119" s="127">
        <v>0.02</v>
      </c>
      <c r="K119" s="103">
        <f t="shared" si="7"/>
        <v>0.16666666666666666</v>
      </c>
      <c r="L119" s="119">
        <v>1274</v>
      </c>
    </row>
    <row r="120" spans="1:12" ht="19.5" customHeight="1">
      <c r="A120">
        <v>114</v>
      </c>
      <c r="B120" s="96" t="s">
        <v>108</v>
      </c>
      <c r="C120" s="1">
        <v>521067.95</v>
      </c>
      <c r="D120">
        <v>1.27</v>
      </c>
      <c r="E120" s="2">
        <v>110102000</v>
      </c>
      <c r="F120" s="2"/>
      <c r="G120" s="48">
        <v>443377.32</v>
      </c>
      <c r="H120" s="100">
        <f t="shared" si="6"/>
        <v>-77690.63</v>
      </c>
      <c r="I120" s="3">
        <v>1981</v>
      </c>
      <c r="J120" s="101">
        <v>0.02</v>
      </c>
      <c r="K120" s="103">
        <f t="shared" si="7"/>
        <v>0.16666666666666666</v>
      </c>
      <c r="L120" s="119">
        <v>1103</v>
      </c>
    </row>
    <row r="121" spans="1:12" ht="18.75" customHeight="1">
      <c r="A121">
        <v>115</v>
      </c>
      <c r="B121" s="95" t="s">
        <v>109</v>
      </c>
      <c r="C121" s="1">
        <v>698949.56</v>
      </c>
      <c r="D121">
        <v>1.27</v>
      </c>
      <c r="E121" s="2">
        <v>110102000</v>
      </c>
      <c r="F121" s="114"/>
      <c r="G121" s="48">
        <v>736762.56</v>
      </c>
      <c r="H121" s="124">
        <f t="shared" si="6"/>
        <v>37813</v>
      </c>
      <c r="I121" s="106">
        <v>1989</v>
      </c>
      <c r="J121" s="127">
        <v>0.02</v>
      </c>
      <c r="K121" s="103">
        <f t="shared" si="7"/>
        <v>0.16666666666666666</v>
      </c>
      <c r="L121" s="99">
        <v>1479</v>
      </c>
    </row>
    <row r="122" spans="1:12" ht="18.75" customHeight="1">
      <c r="A122">
        <v>116</v>
      </c>
      <c r="B122" s="96" t="s">
        <v>110</v>
      </c>
      <c r="C122" s="1">
        <v>193919.63</v>
      </c>
      <c r="D122">
        <v>1.27</v>
      </c>
      <c r="E122" s="2">
        <v>110102000</v>
      </c>
      <c r="F122" s="2"/>
      <c r="G122" s="48">
        <v>46793.15</v>
      </c>
      <c r="H122" s="100">
        <f t="shared" si="6"/>
        <v>-147126.48</v>
      </c>
      <c r="I122" s="3">
        <v>1957</v>
      </c>
      <c r="J122" s="101">
        <v>0.02</v>
      </c>
      <c r="K122" s="103">
        <f t="shared" si="7"/>
        <v>0.16666666666666666</v>
      </c>
      <c r="L122" s="115">
        <v>0</v>
      </c>
    </row>
    <row r="123" spans="1:12" ht="18" customHeight="1">
      <c r="A123">
        <v>117</v>
      </c>
      <c r="B123" s="97" t="s">
        <v>111</v>
      </c>
      <c r="C123" s="1">
        <v>212975.44</v>
      </c>
      <c r="D123">
        <v>1.27</v>
      </c>
      <c r="E123" s="2">
        <v>110102000</v>
      </c>
      <c r="F123" s="114"/>
      <c r="G123" s="48">
        <v>51390.55</v>
      </c>
      <c r="H123" s="124">
        <f t="shared" si="6"/>
        <v>-161584.89</v>
      </c>
      <c r="I123" s="106">
        <v>1957</v>
      </c>
      <c r="J123" s="127">
        <v>0.02</v>
      </c>
      <c r="K123" s="103">
        <f t="shared" si="7"/>
        <v>0.16666666666666666</v>
      </c>
      <c r="L123" s="117">
        <v>0</v>
      </c>
    </row>
    <row r="124" spans="1:12" ht="18.75" customHeight="1">
      <c r="A124">
        <v>118</v>
      </c>
      <c r="B124" s="96" t="s">
        <v>112</v>
      </c>
      <c r="C124" s="1">
        <v>533761.42</v>
      </c>
      <c r="D124">
        <v>1.27</v>
      </c>
      <c r="E124" s="2">
        <v>110102000</v>
      </c>
      <c r="F124" s="123"/>
      <c r="G124" s="48">
        <v>589752.44</v>
      </c>
      <c r="H124" s="124">
        <f t="shared" si="6"/>
        <v>55991.0199999999</v>
      </c>
      <c r="I124" s="106">
        <v>1991</v>
      </c>
      <c r="J124" s="125">
        <v>0.02</v>
      </c>
      <c r="K124" s="118">
        <f t="shared" si="7"/>
        <v>0.16666666666666666</v>
      </c>
      <c r="L124" s="113">
        <v>1130</v>
      </c>
    </row>
    <row r="125" spans="1:12" ht="20.25" customHeight="1">
      <c r="A125">
        <v>119</v>
      </c>
      <c r="B125" s="97" t="s">
        <v>113</v>
      </c>
      <c r="C125" s="1">
        <v>838834.41</v>
      </c>
      <c r="D125">
        <v>1.27</v>
      </c>
      <c r="E125" s="2">
        <v>110102000</v>
      </c>
      <c r="F125" s="85"/>
      <c r="G125" s="48">
        <v>905521.43</v>
      </c>
      <c r="H125" s="120">
        <f t="shared" si="6"/>
        <v>66687.02000000002</v>
      </c>
      <c r="I125" s="112">
        <v>1990</v>
      </c>
      <c r="J125" s="126">
        <v>0.02</v>
      </c>
      <c r="K125" s="102">
        <f t="shared" si="7"/>
        <v>0.16666666666666666</v>
      </c>
      <c r="L125" s="99">
        <v>1776</v>
      </c>
    </row>
    <row r="126" spans="1:12" ht="25.5" customHeight="1">
      <c r="A126">
        <v>120</v>
      </c>
      <c r="B126" s="96" t="s">
        <v>124</v>
      </c>
      <c r="C126" s="1">
        <v>181231.52</v>
      </c>
      <c r="D126">
        <v>1.27</v>
      </c>
      <c r="E126" s="2">
        <v>110102000</v>
      </c>
      <c r="F126" s="123"/>
      <c r="G126" s="48">
        <v>29921.2</v>
      </c>
      <c r="H126" s="124">
        <f t="shared" si="6"/>
        <v>-151310.31999999998</v>
      </c>
      <c r="I126" s="106">
        <v>1954</v>
      </c>
      <c r="J126" s="127">
        <v>0.02</v>
      </c>
      <c r="K126" s="103">
        <f t="shared" si="7"/>
        <v>0.16666666666666666</v>
      </c>
      <c r="L126" s="117">
        <v>0</v>
      </c>
    </row>
    <row r="127" spans="1:12" ht="24.75" customHeight="1">
      <c r="A127">
        <v>121</v>
      </c>
      <c r="B127" s="97" t="s">
        <v>124</v>
      </c>
      <c r="C127" s="1">
        <v>181231.52</v>
      </c>
      <c r="D127">
        <v>1.27</v>
      </c>
      <c r="E127" s="2">
        <v>110102000</v>
      </c>
      <c r="F127" s="2"/>
      <c r="G127" s="48">
        <v>29921.2</v>
      </c>
      <c r="H127" s="100">
        <f t="shared" si="6"/>
        <v>-151310.31999999998</v>
      </c>
      <c r="I127" s="3">
        <v>1954</v>
      </c>
      <c r="J127" s="101">
        <v>0.02</v>
      </c>
      <c r="K127" s="103">
        <f t="shared" si="7"/>
        <v>0.16666666666666666</v>
      </c>
      <c r="L127" s="117">
        <v>0</v>
      </c>
    </row>
    <row r="128" spans="1:12" ht="20.25" customHeight="1">
      <c r="A128">
        <v>122</v>
      </c>
      <c r="B128" s="96" t="s">
        <v>125</v>
      </c>
      <c r="C128" s="122">
        <v>120699.01</v>
      </c>
      <c r="D128" s="91">
        <v>1.27</v>
      </c>
      <c r="E128" s="2">
        <v>110102000</v>
      </c>
      <c r="F128" s="123"/>
      <c r="G128" s="48">
        <v>133361.43</v>
      </c>
      <c r="H128" s="124">
        <f>G128-C128</f>
        <v>12662.419999999998</v>
      </c>
      <c r="I128" s="106">
        <v>1991</v>
      </c>
      <c r="J128" s="125">
        <v>0.02</v>
      </c>
      <c r="K128" s="118">
        <f t="shared" si="7"/>
        <v>0.16666666666666666</v>
      </c>
      <c r="L128" s="119">
        <v>255</v>
      </c>
    </row>
    <row r="129" spans="1:12" ht="18" customHeight="1">
      <c r="A129">
        <v>123</v>
      </c>
      <c r="B129" s="97" t="s">
        <v>282</v>
      </c>
      <c r="C129" s="1">
        <v>804700</v>
      </c>
      <c r="D129">
        <v>1.27</v>
      </c>
      <c r="E129" s="2">
        <v>110102000</v>
      </c>
      <c r="F129" s="85"/>
      <c r="G129" s="48">
        <v>932992.8</v>
      </c>
      <c r="H129" s="100">
        <f>G129-C129</f>
        <v>128292.80000000005</v>
      </c>
      <c r="I129" s="3"/>
      <c r="J129" s="105">
        <v>0.012</v>
      </c>
      <c r="K129" s="102">
        <f>1.2/12</f>
        <v>0.09999999999999999</v>
      </c>
      <c r="L129" s="99">
        <v>1022</v>
      </c>
    </row>
    <row r="130" spans="1:12" ht="15.75">
      <c r="A130" s="93"/>
      <c r="B130" s="88" t="s">
        <v>278</v>
      </c>
      <c r="C130" s="90">
        <f>SUM(C7:C129)</f>
        <v>37318543.87000001</v>
      </c>
      <c r="D130" s="94"/>
      <c r="E130" s="114"/>
      <c r="F130" s="114"/>
      <c r="G130" s="219">
        <f>SUM(G7:G129)</f>
        <v>20729623.26000001</v>
      </c>
      <c r="H130" s="90">
        <f>SUM(H7:H129)</f>
        <v>-16588920.609999996</v>
      </c>
      <c r="I130" s="106"/>
      <c r="J130" s="106"/>
      <c r="K130" s="107"/>
      <c r="L130" s="89">
        <f>SUM(L7:L129)</f>
        <v>73312</v>
      </c>
    </row>
    <row r="131" spans="1:12" ht="15">
      <c r="A131" s="81"/>
      <c r="B131" s="139"/>
      <c r="C131" s="81"/>
      <c r="D131" s="74"/>
      <c r="E131" s="82"/>
      <c r="F131" s="82"/>
      <c r="G131" s="104"/>
      <c r="H131" s="131"/>
      <c r="I131" s="132"/>
      <c r="J131" s="132"/>
      <c r="K131" s="140"/>
      <c r="L131" s="99"/>
    </row>
    <row r="132" spans="1:12" ht="15.75">
      <c r="A132" s="78">
        <v>1</v>
      </c>
      <c r="B132" s="136" t="s">
        <v>127</v>
      </c>
      <c r="C132" s="79">
        <v>267679</v>
      </c>
      <c r="D132" s="80">
        <v>1.27</v>
      </c>
      <c r="E132" s="73">
        <v>110101000</v>
      </c>
      <c r="F132" s="73"/>
      <c r="G132" s="113">
        <f>C132*D132</f>
        <v>339952.33</v>
      </c>
      <c r="H132" s="120">
        <f>G132-C132</f>
        <v>72273.33000000002</v>
      </c>
      <c r="I132" s="112">
        <v>1978</v>
      </c>
      <c r="J132" s="137">
        <v>0.05</v>
      </c>
      <c r="K132" s="111">
        <f>5/12</f>
        <v>0.4166666666666667</v>
      </c>
      <c r="L132" s="138">
        <v>0</v>
      </c>
    </row>
    <row r="133" spans="1:12" ht="15.75">
      <c r="A133" s="91">
        <v>2</v>
      </c>
      <c r="B133" s="134" t="s">
        <v>128</v>
      </c>
      <c r="C133" s="91">
        <v>2329964</v>
      </c>
      <c r="D133" s="94">
        <v>1.27</v>
      </c>
      <c r="E133" s="93">
        <v>110101000</v>
      </c>
      <c r="F133" s="93"/>
      <c r="G133" s="119">
        <f>C133*D133</f>
        <v>2959054.2800000003</v>
      </c>
      <c r="H133" s="124">
        <f>G133-C133</f>
        <v>629090.2800000003</v>
      </c>
      <c r="I133" s="106">
        <v>1985</v>
      </c>
      <c r="J133" s="135">
        <v>0.025</v>
      </c>
      <c r="K133" s="107">
        <f>2.5/12</f>
        <v>0.20833333333333334</v>
      </c>
      <c r="L133" s="119">
        <v>6165</v>
      </c>
    </row>
    <row r="134" spans="1:12" ht="15.75">
      <c r="A134">
        <v>3</v>
      </c>
      <c r="B134" s="98" t="s">
        <v>129</v>
      </c>
      <c r="C134" s="11">
        <v>206572</v>
      </c>
      <c r="D134" s="75">
        <v>1.27</v>
      </c>
      <c r="E134" s="76">
        <v>110101000</v>
      </c>
      <c r="F134" s="76"/>
      <c r="G134" s="99">
        <f>C134*D134</f>
        <v>262346.44</v>
      </c>
      <c r="H134" s="108">
        <f>G134-C134</f>
        <v>55774.44</v>
      </c>
      <c r="I134" s="10">
        <v>1980</v>
      </c>
      <c r="J134" s="110">
        <v>0.05</v>
      </c>
      <c r="K134" s="109">
        <f>5/12</f>
        <v>0.4166666666666667</v>
      </c>
      <c r="L134" s="116">
        <v>0</v>
      </c>
    </row>
    <row r="135" spans="2:12" ht="15.75">
      <c r="B135" s="98" t="s">
        <v>443</v>
      </c>
      <c r="C135" s="11">
        <v>110101000</v>
      </c>
      <c r="D135" s="75">
        <v>1963</v>
      </c>
      <c r="E135" s="76"/>
      <c r="F135" s="76"/>
      <c r="G135" s="76">
        <v>73141.74</v>
      </c>
      <c r="H135" s="108"/>
      <c r="I135" s="10"/>
      <c r="J135" s="110"/>
      <c r="K135" s="109"/>
      <c r="L135" s="116"/>
    </row>
    <row r="136" spans="2:12" ht="15.75">
      <c r="B136" s="98" t="s">
        <v>444</v>
      </c>
      <c r="C136" s="11">
        <v>110101000</v>
      </c>
      <c r="D136" s="75">
        <v>1972</v>
      </c>
      <c r="E136" s="76"/>
      <c r="F136" s="76"/>
      <c r="G136" s="76">
        <v>68327.57</v>
      </c>
      <c r="H136" s="108"/>
      <c r="I136" s="10"/>
      <c r="J136" s="110"/>
      <c r="K136" s="109"/>
      <c r="L136" s="116"/>
    </row>
    <row r="137" spans="2:12" ht="15.75">
      <c r="B137" s="98" t="s">
        <v>445</v>
      </c>
      <c r="C137" s="11">
        <v>110101000</v>
      </c>
      <c r="D137" s="75">
        <v>1953</v>
      </c>
      <c r="E137" s="76"/>
      <c r="F137" s="76"/>
      <c r="G137" s="76">
        <v>250993.32</v>
      </c>
      <c r="H137" s="108"/>
      <c r="I137" s="10"/>
      <c r="J137" s="110"/>
      <c r="K137" s="109"/>
      <c r="L137" s="116"/>
    </row>
    <row r="138" spans="2:12" ht="15.75">
      <c r="B138" s="98" t="s">
        <v>446</v>
      </c>
      <c r="C138" s="11">
        <v>110101000</v>
      </c>
      <c r="D138" s="75">
        <v>1965</v>
      </c>
      <c r="E138" s="76"/>
      <c r="F138" s="76"/>
      <c r="G138" s="76">
        <v>11218.66</v>
      </c>
      <c r="H138" s="108"/>
      <c r="I138" s="10"/>
      <c r="J138" s="110"/>
      <c r="K138" s="109"/>
      <c r="L138" s="116"/>
    </row>
    <row r="139" spans="2:12" ht="15.75">
      <c r="B139" s="98" t="s">
        <v>447</v>
      </c>
      <c r="C139" s="11">
        <v>110101000</v>
      </c>
      <c r="D139" s="75">
        <v>1958</v>
      </c>
      <c r="E139" s="76"/>
      <c r="F139" s="76">
        <v>1958</v>
      </c>
      <c r="G139" s="76">
        <v>21700.26</v>
      </c>
      <c r="H139" s="108"/>
      <c r="I139" s="10"/>
      <c r="J139" s="110"/>
      <c r="K139" s="109"/>
      <c r="L139" s="116"/>
    </row>
    <row r="140" spans="2:12" ht="15.75">
      <c r="B140" s="98" t="s">
        <v>448</v>
      </c>
      <c r="C140" s="11">
        <v>110101000</v>
      </c>
      <c r="D140" s="75">
        <v>1958</v>
      </c>
      <c r="E140" s="76"/>
      <c r="F140" s="76">
        <v>1965</v>
      </c>
      <c r="G140" s="76">
        <v>12180.16</v>
      </c>
      <c r="H140" s="108"/>
      <c r="I140" s="10"/>
      <c r="J140" s="110"/>
      <c r="K140" s="109"/>
      <c r="L140" s="116"/>
    </row>
    <row r="141" spans="2:12" ht="15.75">
      <c r="B141" s="98" t="s">
        <v>444</v>
      </c>
      <c r="C141" s="11">
        <v>110101000</v>
      </c>
      <c r="D141" s="75">
        <v>1972</v>
      </c>
      <c r="E141" s="76"/>
      <c r="F141" s="76"/>
      <c r="G141" s="76">
        <v>6717.03</v>
      </c>
      <c r="H141" s="108"/>
      <c r="I141" s="10"/>
      <c r="J141" s="110"/>
      <c r="K141" s="109"/>
      <c r="L141" s="116"/>
    </row>
    <row r="142" spans="2:12" ht="15.75">
      <c r="B142" s="98" t="s">
        <v>450</v>
      </c>
      <c r="C142" s="11"/>
      <c r="D142" s="75"/>
      <c r="E142" s="76"/>
      <c r="F142" s="76">
        <v>1980</v>
      </c>
      <c r="G142" s="76">
        <v>117280</v>
      </c>
      <c r="H142" s="108"/>
      <c r="I142" s="10"/>
      <c r="J142" s="110"/>
      <c r="K142" s="109"/>
      <c r="L142" s="116"/>
    </row>
    <row r="143" spans="2:12" ht="15.75">
      <c r="B143" s="98" t="s">
        <v>451</v>
      </c>
      <c r="C143" s="11"/>
      <c r="D143" s="75"/>
      <c r="E143" s="76"/>
      <c r="F143" s="76">
        <v>1980</v>
      </c>
      <c r="G143" s="76">
        <v>260524</v>
      </c>
      <c r="H143" s="108"/>
      <c r="I143" s="10"/>
      <c r="J143" s="110"/>
      <c r="K143" s="109"/>
      <c r="L143" s="116"/>
    </row>
    <row r="144" spans="1:12" ht="15.75">
      <c r="A144" s="92"/>
      <c r="B144" s="88" t="s">
        <v>278</v>
      </c>
      <c r="C144" s="86">
        <f>SUM(C132:C134)</f>
        <v>2804215</v>
      </c>
      <c r="D144" s="87"/>
      <c r="E144" s="88"/>
      <c r="F144" s="88"/>
      <c r="G144" s="89">
        <v>3561352</v>
      </c>
      <c r="H144" s="90">
        <f>SUM(H132:H134)</f>
        <v>757138.0500000003</v>
      </c>
      <c r="I144" s="106"/>
      <c r="J144" s="106"/>
      <c r="K144" s="107"/>
      <c r="L144" s="89">
        <f>SUM(L132:L134)</f>
        <v>6165</v>
      </c>
    </row>
    <row r="145" spans="2:12" ht="15">
      <c r="B145" s="76"/>
      <c r="C145" s="11"/>
      <c r="D145" s="75"/>
      <c r="E145" s="76"/>
      <c r="F145" s="76"/>
      <c r="G145" s="109"/>
      <c r="H145" s="10"/>
      <c r="I145" s="10"/>
      <c r="J145" s="10"/>
      <c r="K145" s="109"/>
      <c r="L145" s="99"/>
    </row>
    <row r="146" spans="2:12" ht="15.75">
      <c r="B146" s="84" t="s">
        <v>156</v>
      </c>
      <c r="C146" s="77">
        <f>C130+C144</f>
        <v>40122758.87000001</v>
      </c>
      <c r="D146" s="75"/>
      <c r="E146" s="76"/>
      <c r="F146" s="76"/>
      <c r="G146" s="72">
        <f>G130+G144</f>
        <v>24290975.26000001</v>
      </c>
      <c r="H146" s="77">
        <f>H130+H144</f>
        <v>-15831782.559999995</v>
      </c>
      <c r="I146" s="10"/>
      <c r="J146" s="10"/>
      <c r="K146" s="109"/>
      <c r="L146" s="83">
        <f>L130+L144</f>
        <v>79477</v>
      </c>
    </row>
    <row r="147" spans="1:12" ht="15">
      <c r="A147" s="79"/>
      <c r="B147" s="78"/>
      <c r="C147" s="79"/>
      <c r="D147" s="80"/>
      <c r="E147" s="78"/>
      <c r="F147" s="78"/>
      <c r="G147" s="111"/>
      <c r="H147" s="112"/>
      <c r="I147" s="112"/>
      <c r="J147" s="112"/>
      <c r="K147" s="111"/>
      <c r="L147" s="113"/>
    </row>
    <row r="148" spans="2:11" ht="15">
      <c r="B148" s="3" t="s">
        <v>280</v>
      </c>
      <c r="C148" s="3"/>
      <c r="D148" s="3"/>
      <c r="E148" s="3"/>
      <c r="F148" s="3"/>
      <c r="G148" s="3">
        <v>140103000</v>
      </c>
      <c r="H148" s="3"/>
      <c r="I148" s="3"/>
      <c r="J148" s="3">
        <v>110401000</v>
      </c>
      <c r="K148" s="48">
        <v>78011</v>
      </c>
    </row>
    <row r="149" spans="2:11" ht="1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">
      <c r="B150" s="3"/>
      <c r="C150" s="3"/>
      <c r="D150" s="3"/>
      <c r="E150" s="3"/>
      <c r="F150" s="3"/>
      <c r="G150" s="3">
        <v>140103000</v>
      </c>
      <c r="H150" s="3"/>
      <c r="I150" s="3"/>
      <c r="J150" s="3">
        <v>110402000</v>
      </c>
      <c r="K150" s="48">
        <v>6165</v>
      </c>
    </row>
    <row r="152" ht="15">
      <c r="B152" s="3" t="s">
        <v>281</v>
      </c>
    </row>
    <row r="158" spans="2:11" ht="18">
      <c r="B158" s="62"/>
      <c r="G158" s="5" t="s">
        <v>269</v>
      </c>
      <c r="K158" s="5"/>
    </row>
    <row r="159" spans="2:12" ht="15.75">
      <c r="B159" s="6" t="s">
        <v>134</v>
      </c>
      <c r="C159" s="4" t="s">
        <v>130</v>
      </c>
      <c r="G159" s="4" t="s">
        <v>329</v>
      </c>
      <c r="K159" s="11"/>
      <c r="L159" s="11"/>
    </row>
    <row r="160" spans="2:12" ht="16.5" thickBot="1">
      <c r="B160" s="6" t="s">
        <v>268</v>
      </c>
      <c r="C160" s="4"/>
      <c r="G160" s="4"/>
      <c r="K160" s="14"/>
      <c r="L160" s="11"/>
    </row>
    <row r="161" spans="1:12" ht="16.5" thickBot="1">
      <c r="A161" s="19"/>
      <c r="B161" s="67"/>
      <c r="C161" s="68"/>
      <c r="D161" s="8"/>
      <c r="E161" s="19"/>
      <c r="F161" s="174" t="s">
        <v>119</v>
      </c>
      <c r="G161" s="65" t="s">
        <v>273</v>
      </c>
      <c r="H161" s="8"/>
      <c r="I161" s="9"/>
      <c r="J161" s="63" t="s">
        <v>272</v>
      </c>
      <c r="K161" s="15"/>
      <c r="L161" s="39" t="s">
        <v>304</v>
      </c>
    </row>
    <row r="162" spans="1:12" ht="15">
      <c r="A162" s="17"/>
      <c r="B162" s="69" t="s">
        <v>276</v>
      </c>
      <c r="C162" s="66" t="s">
        <v>115</v>
      </c>
      <c r="D162" s="9" t="s">
        <v>117</v>
      </c>
      <c r="E162" s="36" t="s">
        <v>274</v>
      </c>
      <c r="F162" s="172" t="s">
        <v>120</v>
      </c>
      <c r="G162" s="70" t="s">
        <v>277</v>
      </c>
      <c r="H162" s="11" t="s">
        <v>131</v>
      </c>
      <c r="I162" s="12" t="s">
        <v>119</v>
      </c>
      <c r="J162" s="19" t="s">
        <v>126</v>
      </c>
      <c r="K162" s="19" t="s">
        <v>126</v>
      </c>
      <c r="L162" s="36" t="s">
        <v>279</v>
      </c>
    </row>
    <row r="163" spans="1:12" ht="15" thickBot="1">
      <c r="A163" s="18"/>
      <c r="B163" s="64"/>
      <c r="C163" s="64" t="s">
        <v>116</v>
      </c>
      <c r="D163" s="15" t="s">
        <v>118</v>
      </c>
      <c r="E163" s="42" t="s">
        <v>275</v>
      </c>
      <c r="F163" s="173"/>
      <c r="G163" s="71" t="s">
        <v>116</v>
      </c>
      <c r="H163" s="14" t="s">
        <v>132</v>
      </c>
      <c r="I163" s="15" t="s">
        <v>120</v>
      </c>
      <c r="J163" s="18" t="s">
        <v>270</v>
      </c>
      <c r="K163" s="18" t="s">
        <v>271</v>
      </c>
      <c r="L163" s="42" t="s">
        <v>320</v>
      </c>
    </row>
    <row r="164" spans="1:12" ht="15">
      <c r="A164">
        <v>1</v>
      </c>
      <c r="B164" s="23" t="s">
        <v>305</v>
      </c>
      <c r="E164" s="176">
        <v>110104000</v>
      </c>
      <c r="F164" s="168">
        <v>1983</v>
      </c>
      <c r="G164" s="24">
        <v>6337.44</v>
      </c>
      <c r="H164" s="3"/>
      <c r="I164" s="3"/>
      <c r="J164" s="178">
        <v>0.04</v>
      </c>
      <c r="K164" s="180">
        <f aca="true" t="shared" si="8" ref="K164:K188">J164/12</f>
        <v>0.0033333333333333335</v>
      </c>
      <c r="L164" s="163">
        <v>0</v>
      </c>
    </row>
    <row r="165" spans="1:12" ht="15">
      <c r="A165">
        <v>2</v>
      </c>
      <c r="B165" s="107" t="s">
        <v>306</v>
      </c>
      <c r="E165" s="177">
        <v>110104000</v>
      </c>
      <c r="F165" s="168">
        <v>2004</v>
      </c>
      <c r="G165" s="50">
        <v>95816</v>
      </c>
      <c r="H165" s="3"/>
      <c r="I165" s="3"/>
      <c r="J165" s="179">
        <v>0.142</v>
      </c>
      <c r="K165" s="167">
        <f t="shared" si="8"/>
        <v>0.011833333333333333</v>
      </c>
      <c r="L165" s="163">
        <f aca="true" t="shared" si="9" ref="L165:L175">G165*K165</f>
        <v>1133.8226666666667</v>
      </c>
    </row>
    <row r="166" spans="1:12" ht="15">
      <c r="A166">
        <v>3</v>
      </c>
      <c r="B166" s="23" t="s">
        <v>307</v>
      </c>
      <c r="E166" s="177">
        <v>110104000</v>
      </c>
      <c r="F166" s="168">
        <v>1998</v>
      </c>
      <c r="G166" s="50">
        <v>117734.4</v>
      </c>
      <c r="H166" s="3"/>
      <c r="I166" s="3"/>
      <c r="J166" s="178">
        <v>0.1</v>
      </c>
      <c r="K166" s="167">
        <f t="shared" si="8"/>
        <v>0.008333333333333333</v>
      </c>
      <c r="L166" s="163">
        <v>0</v>
      </c>
    </row>
    <row r="167" spans="1:12" ht="15">
      <c r="A167">
        <v>4</v>
      </c>
      <c r="B167" s="167" t="s">
        <v>307</v>
      </c>
      <c r="E167" s="177">
        <v>110104000</v>
      </c>
      <c r="F167" s="168">
        <v>1998</v>
      </c>
      <c r="G167" s="50">
        <v>117734.4</v>
      </c>
      <c r="H167" s="3"/>
      <c r="I167" s="3"/>
      <c r="J167" s="178">
        <v>0.1</v>
      </c>
      <c r="K167" s="167">
        <f t="shared" si="8"/>
        <v>0.008333333333333333</v>
      </c>
      <c r="L167" s="163">
        <v>0</v>
      </c>
    </row>
    <row r="168" spans="1:12" ht="15">
      <c r="A168">
        <v>5</v>
      </c>
      <c r="B168" s="23" t="s">
        <v>307</v>
      </c>
      <c r="E168" s="177">
        <v>110104000</v>
      </c>
      <c r="F168" s="168">
        <v>2003</v>
      </c>
      <c r="G168" s="50">
        <v>148050</v>
      </c>
      <c r="H168" s="3"/>
      <c r="I168" s="3"/>
      <c r="J168" s="178">
        <v>0.1</v>
      </c>
      <c r="K168" s="167">
        <f t="shared" si="8"/>
        <v>0.008333333333333333</v>
      </c>
      <c r="L168" s="163">
        <f t="shared" si="9"/>
        <v>1233.75</v>
      </c>
    </row>
    <row r="169" spans="1:12" ht="15">
      <c r="A169">
        <v>6</v>
      </c>
      <c r="B169" s="107" t="s">
        <v>307</v>
      </c>
      <c r="E169" s="177">
        <v>110104000</v>
      </c>
      <c r="F169" s="168">
        <v>2003</v>
      </c>
      <c r="G169" s="50">
        <v>148050</v>
      </c>
      <c r="H169" s="3"/>
      <c r="I169" s="3"/>
      <c r="J169" s="178">
        <v>0.1</v>
      </c>
      <c r="K169" s="167">
        <f t="shared" si="8"/>
        <v>0.008333333333333333</v>
      </c>
      <c r="L169" s="163">
        <f t="shared" si="9"/>
        <v>1233.75</v>
      </c>
    </row>
    <row r="170" spans="1:12" ht="15">
      <c r="A170">
        <v>7</v>
      </c>
      <c r="B170" s="23" t="s">
        <v>307</v>
      </c>
      <c r="E170" s="177">
        <v>110104000</v>
      </c>
      <c r="F170" s="168">
        <v>2005</v>
      </c>
      <c r="G170" s="23">
        <v>136763.75</v>
      </c>
      <c r="H170" s="3"/>
      <c r="I170" s="3"/>
      <c r="J170" s="178">
        <v>0.1</v>
      </c>
      <c r="K170" s="167">
        <f t="shared" si="8"/>
        <v>0.008333333333333333</v>
      </c>
      <c r="L170" s="163">
        <f t="shared" si="9"/>
        <v>1139.6979166666667</v>
      </c>
    </row>
    <row r="171" spans="1:12" ht="15">
      <c r="A171">
        <v>8</v>
      </c>
      <c r="B171" s="167" t="s">
        <v>308</v>
      </c>
      <c r="E171" s="177">
        <v>110104000</v>
      </c>
      <c r="F171" s="168">
        <v>2003</v>
      </c>
      <c r="G171" s="50">
        <v>26790</v>
      </c>
      <c r="H171" s="3"/>
      <c r="I171" s="3"/>
      <c r="J171" s="179">
        <v>0.125</v>
      </c>
      <c r="K171" s="167">
        <f t="shared" si="8"/>
        <v>0.010416666666666666</v>
      </c>
      <c r="L171" s="163">
        <f t="shared" si="9"/>
        <v>279.0625</v>
      </c>
    </row>
    <row r="172" spans="1:12" ht="15">
      <c r="A172">
        <v>9</v>
      </c>
      <c r="B172" s="167" t="s">
        <v>309</v>
      </c>
      <c r="E172" s="177">
        <v>110104000</v>
      </c>
      <c r="F172" s="168">
        <v>2003</v>
      </c>
      <c r="G172" s="23">
        <v>18721.17</v>
      </c>
      <c r="H172" s="3"/>
      <c r="I172" s="3"/>
      <c r="J172" s="178">
        <v>0.1</v>
      </c>
      <c r="K172" s="167">
        <f t="shared" si="8"/>
        <v>0.008333333333333333</v>
      </c>
      <c r="L172" s="163">
        <f t="shared" si="9"/>
        <v>156.00975</v>
      </c>
    </row>
    <row r="173" spans="1:12" ht="15">
      <c r="A173">
        <v>10</v>
      </c>
      <c r="B173" s="23" t="s">
        <v>310</v>
      </c>
      <c r="E173" s="177">
        <v>110104000</v>
      </c>
      <c r="F173" s="168">
        <v>2006</v>
      </c>
      <c r="G173" s="23">
        <v>22917.36</v>
      </c>
      <c r="H173" s="3"/>
      <c r="I173" s="3"/>
      <c r="J173" s="178">
        <v>0.1</v>
      </c>
      <c r="K173" s="167">
        <f t="shared" si="8"/>
        <v>0.008333333333333333</v>
      </c>
      <c r="L173" s="163">
        <f t="shared" si="9"/>
        <v>190.978</v>
      </c>
    </row>
    <row r="174" spans="1:12" ht="15">
      <c r="A174">
        <v>11</v>
      </c>
      <c r="B174" s="167" t="s">
        <v>311</v>
      </c>
      <c r="E174" s="177">
        <v>110104000</v>
      </c>
      <c r="F174" s="168">
        <v>2006</v>
      </c>
      <c r="G174" s="23">
        <v>16118.04</v>
      </c>
      <c r="H174" s="3"/>
      <c r="I174" s="3"/>
      <c r="J174" s="178">
        <v>0.1</v>
      </c>
      <c r="K174" s="167">
        <f t="shared" si="8"/>
        <v>0.008333333333333333</v>
      </c>
      <c r="L174" s="163">
        <f t="shared" si="9"/>
        <v>134.317</v>
      </c>
    </row>
    <row r="175" spans="1:12" ht="15">
      <c r="A175">
        <v>12</v>
      </c>
      <c r="B175" s="23" t="s">
        <v>312</v>
      </c>
      <c r="E175" s="177">
        <v>110104000</v>
      </c>
      <c r="F175" s="168">
        <v>2006</v>
      </c>
      <c r="G175" s="23">
        <v>6409.52</v>
      </c>
      <c r="H175" s="3"/>
      <c r="I175" s="3"/>
      <c r="J175" s="179">
        <v>0.111</v>
      </c>
      <c r="K175" s="167">
        <f t="shared" si="8"/>
        <v>0.00925</v>
      </c>
      <c r="L175" s="163">
        <f t="shared" si="9"/>
        <v>59.28806</v>
      </c>
    </row>
    <row r="176" spans="1:12" ht="15">
      <c r="A176">
        <v>13</v>
      </c>
      <c r="B176" s="167" t="s">
        <v>313</v>
      </c>
      <c r="E176" s="177">
        <v>110104000</v>
      </c>
      <c r="F176" s="168">
        <v>2006</v>
      </c>
      <c r="G176" s="23">
        <v>2622.88</v>
      </c>
      <c r="H176" s="3"/>
      <c r="I176" s="3"/>
      <c r="J176" s="179">
        <v>0.111</v>
      </c>
      <c r="K176" s="167">
        <f t="shared" si="8"/>
        <v>0.00925</v>
      </c>
      <c r="L176" s="163">
        <v>24</v>
      </c>
    </row>
    <row r="177" spans="1:12" ht="15">
      <c r="A177">
        <v>14</v>
      </c>
      <c r="B177" s="23" t="s">
        <v>314</v>
      </c>
      <c r="E177" s="177">
        <v>110104000</v>
      </c>
      <c r="F177" s="168">
        <v>1998</v>
      </c>
      <c r="G177" s="23">
        <v>5347.86</v>
      </c>
      <c r="H177" s="3"/>
      <c r="I177" s="3"/>
      <c r="J177" s="178">
        <v>0.1</v>
      </c>
      <c r="K177" s="167">
        <f t="shared" si="8"/>
        <v>0.008333333333333333</v>
      </c>
      <c r="L177" s="163">
        <v>0</v>
      </c>
    </row>
    <row r="178" spans="1:12" ht="15">
      <c r="A178">
        <v>15</v>
      </c>
      <c r="B178" s="167" t="s">
        <v>315</v>
      </c>
      <c r="E178" s="177">
        <v>110104000</v>
      </c>
      <c r="F178" s="168">
        <v>2006</v>
      </c>
      <c r="G178" s="23">
        <v>8431.32</v>
      </c>
      <c r="H178" s="3"/>
      <c r="I178" s="3"/>
      <c r="J178" s="178">
        <v>0.1</v>
      </c>
      <c r="K178" s="167">
        <f t="shared" si="8"/>
        <v>0.008333333333333333</v>
      </c>
      <c r="L178" s="163">
        <f aca="true" t="shared" si="10" ref="L178:L188">G178*K178</f>
        <v>70.261</v>
      </c>
    </row>
    <row r="179" spans="1:12" ht="15">
      <c r="A179">
        <v>16</v>
      </c>
      <c r="B179" s="23" t="s">
        <v>316</v>
      </c>
      <c r="E179" s="177">
        <v>110104000</v>
      </c>
      <c r="F179" s="168">
        <v>2006</v>
      </c>
      <c r="G179" s="23">
        <v>4134.06</v>
      </c>
      <c r="H179" s="3"/>
      <c r="I179" s="3"/>
      <c r="J179" s="178">
        <v>0.1</v>
      </c>
      <c r="K179" s="167">
        <f t="shared" si="8"/>
        <v>0.008333333333333333</v>
      </c>
      <c r="L179" s="163">
        <f t="shared" si="10"/>
        <v>34.450500000000005</v>
      </c>
    </row>
    <row r="180" spans="1:12" ht="15">
      <c r="A180">
        <v>17</v>
      </c>
      <c r="B180" s="167" t="s">
        <v>317</v>
      </c>
      <c r="E180" s="175">
        <v>110104000</v>
      </c>
      <c r="F180" s="168">
        <v>2006</v>
      </c>
      <c r="G180" s="23">
        <v>3332.34</v>
      </c>
      <c r="H180" s="3"/>
      <c r="I180" s="3"/>
      <c r="J180" s="178">
        <v>0.1</v>
      </c>
      <c r="K180" s="23">
        <f t="shared" si="8"/>
        <v>0.008333333333333333</v>
      </c>
      <c r="L180" s="163">
        <f t="shared" si="10"/>
        <v>27.7695</v>
      </c>
    </row>
    <row r="181" spans="1:12" ht="15">
      <c r="A181">
        <v>18</v>
      </c>
      <c r="B181" s="167" t="s">
        <v>325</v>
      </c>
      <c r="E181" s="175">
        <v>110104000</v>
      </c>
      <c r="F181" s="193" t="s">
        <v>462</v>
      </c>
      <c r="G181" s="50">
        <v>31465.5</v>
      </c>
      <c r="H181" s="3"/>
      <c r="I181" s="3"/>
      <c r="J181" s="194">
        <v>0.142</v>
      </c>
      <c r="K181" s="23">
        <f t="shared" si="8"/>
        <v>0.011833333333333333</v>
      </c>
      <c r="L181" s="163">
        <f t="shared" si="10"/>
        <v>372.34175</v>
      </c>
    </row>
    <row r="182" spans="2:12" ht="15">
      <c r="B182" s="23" t="s">
        <v>307</v>
      </c>
      <c r="E182" s="175">
        <v>110104000</v>
      </c>
      <c r="F182" s="193" t="s">
        <v>463</v>
      </c>
      <c r="G182" s="50">
        <v>372000</v>
      </c>
      <c r="H182" s="3"/>
      <c r="I182" s="3"/>
      <c r="J182" s="194">
        <v>0.1</v>
      </c>
      <c r="K182" s="23">
        <f t="shared" si="8"/>
        <v>0.008333333333333333</v>
      </c>
      <c r="L182" s="163">
        <f t="shared" si="10"/>
        <v>3100</v>
      </c>
    </row>
    <row r="183" spans="2:12" ht="15">
      <c r="B183" s="182" t="s">
        <v>453</v>
      </c>
      <c r="E183" s="175">
        <v>110104000</v>
      </c>
      <c r="F183" s="193"/>
      <c r="G183" s="50">
        <v>1687385</v>
      </c>
      <c r="H183" s="3"/>
      <c r="I183" s="3"/>
      <c r="J183" s="194">
        <v>0.15</v>
      </c>
      <c r="K183" s="23">
        <f t="shared" si="8"/>
        <v>0.012499999999999999</v>
      </c>
      <c r="L183" s="163">
        <f t="shared" si="10"/>
        <v>21092.3125</v>
      </c>
    </row>
    <row r="184" spans="2:12" ht="15">
      <c r="B184" s="182" t="s">
        <v>454</v>
      </c>
      <c r="E184" s="175"/>
      <c r="F184" s="193"/>
      <c r="G184" s="50"/>
      <c r="H184" s="3"/>
      <c r="I184" s="3"/>
      <c r="J184" s="194"/>
      <c r="K184" s="23">
        <f t="shared" si="8"/>
        <v>0</v>
      </c>
      <c r="L184" s="163">
        <f t="shared" si="10"/>
        <v>0</v>
      </c>
    </row>
    <row r="185" spans="2:12" ht="15">
      <c r="B185" s="182" t="s">
        <v>455</v>
      </c>
      <c r="E185" s="175">
        <v>110104000</v>
      </c>
      <c r="F185" s="193"/>
      <c r="G185" s="50">
        <v>1734524</v>
      </c>
      <c r="H185" s="3"/>
      <c r="I185" s="3"/>
      <c r="J185" s="194">
        <v>0.15</v>
      </c>
      <c r="K185" s="23">
        <f t="shared" si="8"/>
        <v>0.012499999999999999</v>
      </c>
      <c r="L185" s="163">
        <f t="shared" si="10"/>
        <v>21681.55</v>
      </c>
    </row>
    <row r="186" spans="2:12" ht="15">
      <c r="B186" s="182" t="s">
        <v>456</v>
      </c>
      <c r="E186" s="175">
        <v>110104000</v>
      </c>
      <c r="F186" s="193"/>
      <c r="G186" s="50">
        <v>81098</v>
      </c>
      <c r="H186" s="3"/>
      <c r="I186" s="3"/>
      <c r="J186" s="194">
        <v>0.15</v>
      </c>
      <c r="K186" s="23">
        <f t="shared" si="8"/>
        <v>0.012499999999999999</v>
      </c>
      <c r="L186" s="163">
        <f t="shared" si="10"/>
        <v>1013.7249999999999</v>
      </c>
    </row>
    <row r="187" spans="2:12" ht="15">
      <c r="B187" s="182" t="s">
        <v>457</v>
      </c>
      <c r="E187" s="175">
        <v>110104000</v>
      </c>
      <c r="F187" s="193"/>
      <c r="G187" s="50">
        <v>450452</v>
      </c>
      <c r="H187" s="3"/>
      <c r="I187" s="3"/>
      <c r="J187" s="194">
        <v>0.15</v>
      </c>
      <c r="K187" s="23">
        <f t="shared" si="8"/>
        <v>0.012499999999999999</v>
      </c>
      <c r="L187" s="163">
        <f t="shared" si="10"/>
        <v>5630.65</v>
      </c>
    </row>
    <row r="188" spans="2:12" ht="15.75" thickBot="1">
      <c r="B188" s="182" t="s">
        <v>458</v>
      </c>
      <c r="E188" s="175">
        <v>110104000</v>
      </c>
      <c r="F188" s="193"/>
      <c r="G188" s="50">
        <v>233623</v>
      </c>
      <c r="H188" s="3"/>
      <c r="I188" s="3"/>
      <c r="J188" s="194">
        <v>0.15</v>
      </c>
      <c r="K188" s="23">
        <f t="shared" si="8"/>
        <v>0.012499999999999999</v>
      </c>
      <c r="L188" s="163">
        <f t="shared" si="10"/>
        <v>2920.2875</v>
      </c>
    </row>
    <row r="189" spans="2:12" ht="16.5" thickBot="1">
      <c r="B189" s="169" t="s">
        <v>318</v>
      </c>
      <c r="E189" s="27"/>
      <c r="F189" s="148"/>
      <c r="G189" s="53">
        <f>G164+G165+G166+G167+G168+G169+G170+G171+G172+G173+G174+G175+G176+G177+G178+G179+G180+G181+G182+G183+G185+G186+G187+G188</f>
        <v>5475858.04</v>
      </c>
      <c r="H189" s="148"/>
      <c r="I189" s="148"/>
      <c r="J189" s="148"/>
      <c r="K189" s="170"/>
      <c r="L189" s="171">
        <f>SUM(L164:L183)</f>
        <v>30281.811143333332</v>
      </c>
    </row>
    <row r="191" spans="2:11" ht="15">
      <c r="B191" s="3" t="s">
        <v>280</v>
      </c>
      <c r="F191" s="181"/>
      <c r="G191" s="182">
        <v>140103000</v>
      </c>
      <c r="J191" s="182">
        <v>140404000</v>
      </c>
      <c r="K191" s="100">
        <f>L189</f>
        <v>30281.811143333332</v>
      </c>
    </row>
    <row r="192" spans="2:7" ht="15">
      <c r="B192" s="3"/>
      <c r="G192" s="182"/>
    </row>
    <row r="193" ht="15">
      <c r="B193" s="3"/>
    </row>
    <row r="195" spans="2:12" ht="15.75">
      <c r="B195" s="6"/>
      <c r="C195" s="4" t="s">
        <v>130</v>
      </c>
      <c r="G195" s="4"/>
      <c r="K195" s="11"/>
      <c r="L195" s="11"/>
    </row>
    <row r="196" spans="2:12" ht="16.5" thickBot="1">
      <c r="B196" s="6"/>
      <c r="C196" s="4"/>
      <c r="G196" s="4"/>
      <c r="K196" s="14"/>
      <c r="L196" s="11"/>
    </row>
    <row r="197" spans="1:12" ht="16.5" thickBot="1">
      <c r="A197" s="19"/>
      <c r="B197" s="67"/>
      <c r="C197" s="68"/>
      <c r="D197" s="8"/>
      <c r="E197" s="19"/>
      <c r="F197" s="174" t="s">
        <v>119</v>
      </c>
      <c r="G197" s="65" t="s">
        <v>273</v>
      </c>
      <c r="H197" s="8"/>
      <c r="I197" s="9"/>
      <c r="J197" s="63" t="s">
        <v>272</v>
      </c>
      <c r="K197" s="15"/>
      <c r="L197" s="39" t="s">
        <v>304</v>
      </c>
    </row>
    <row r="198" spans="1:12" ht="15">
      <c r="A198" s="17"/>
      <c r="B198" s="69" t="s">
        <v>276</v>
      </c>
      <c r="C198" s="66" t="s">
        <v>115</v>
      </c>
      <c r="D198" s="9" t="s">
        <v>117</v>
      </c>
      <c r="E198" s="36" t="s">
        <v>274</v>
      </c>
      <c r="F198" s="172" t="s">
        <v>120</v>
      </c>
      <c r="G198" s="70" t="s">
        <v>277</v>
      </c>
      <c r="H198" s="11" t="s">
        <v>131</v>
      </c>
      <c r="I198" s="12" t="s">
        <v>119</v>
      </c>
      <c r="J198" s="19" t="s">
        <v>126</v>
      </c>
      <c r="K198" s="19" t="s">
        <v>126</v>
      </c>
      <c r="L198" s="36" t="s">
        <v>279</v>
      </c>
    </row>
    <row r="199" spans="1:12" ht="15" thickBot="1">
      <c r="A199" s="18"/>
      <c r="B199" s="64"/>
      <c r="C199" s="64" t="s">
        <v>116</v>
      </c>
      <c r="D199" s="15" t="s">
        <v>118</v>
      </c>
      <c r="E199" s="42" t="s">
        <v>275</v>
      </c>
      <c r="F199" s="173"/>
      <c r="G199" s="71" t="s">
        <v>116</v>
      </c>
      <c r="H199" s="14" t="s">
        <v>132</v>
      </c>
      <c r="I199" s="15" t="s">
        <v>120</v>
      </c>
      <c r="J199" s="18" t="s">
        <v>270</v>
      </c>
      <c r="K199" s="18" t="s">
        <v>271</v>
      </c>
      <c r="L199" s="42" t="s">
        <v>320</v>
      </c>
    </row>
    <row r="200" spans="1:12" ht="15">
      <c r="A200">
        <v>1</v>
      </c>
      <c r="B200" s="23" t="s">
        <v>322</v>
      </c>
      <c r="E200" s="3">
        <v>110105000</v>
      </c>
      <c r="F200" s="186">
        <v>2002</v>
      </c>
      <c r="G200" s="3">
        <v>166291.44</v>
      </c>
      <c r="H200" s="3"/>
      <c r="I200" s="3"/>
      <c r="J200" s="188">
        <v>0.13</v>
      </c>
      <c r="K200" s="3">
        <f>J200/12</f>
        <v>0.010833333333333334</v>
      </c>
      <c r="L200" s="190">
        <f>G200*K200</f>
        <v>1801.4906</v>
      </c>
    </row>
    <row r="201" spans="1:12" ht="15.75" thickBot="1">
      <c r="A201" s="12">
        <v>2</v>
      </c>
      <c r="B201" s="142" t="s">
        <v>323</v>
      </c>
      <c r="E201" s="3">
        <v>110105000</v>
      </c>
      <c r="F201" s="187">
        <v>1997</v>
      </c>
      <c r="G201" s="48">
        <v>676200</v>
      </c>
      <c r="H201" s="3"/>
      <c r="I201" s="3"/>
      <c r="J201" s="189">
        <v>0.091</v>
      </c>
      <c r="K201" s="3">
        <f>J201/12</f>
        <v>0.007583333333333333</v>
      </c>
      <c r="L201" s="163">
        <v>0</v>
      </c>
    </row>
    <row r="202" spans="1:12" ht="16.5" thickBot="1">
      <c r="A202" s="27"/>
      <c r="B202" s="185" t="s">
        <v>278</v>
      </c>
      <c r="C202" s="184"/>
      <c r="D202" s="184"/>
      <c r="E202" s="22"/>
      <c r="F202" s="22"/>
      <c r="G202" s="21">
        <f>SUM(G200:G201)</f>
        <v>842491.44</v>
      </c>
      <c r="H202" s="21"/>
      <c r="I202" s="21"/>
      <c r="J202" s="22"/>
      <c r="K202" s="21"/>
      <c r="L202" s="159">
        <f>SUM(L200:L201)</f>
        <v>1801.4906</v>
      </c>
    </row>
    <row r="205" spans="2:11" ht="15">
      <c r="B205" s="3" t="s">
        <v>280</v>
      </c>
      <c r="G205" s="3">
        <v>140103000</v>
      </c>
      <c r="H205" s="3"/>
      <c r="I205" s="3"/>
      <c r="J205" s="3">
        <v>110404000</v>
      </c>
      <c r="K205" s="48">
        <v>1801</v>
      </c>
    </row>
    <row r="206" spans="2:11" ht="15">
      <c r="B206" s="3"/>
      <c r="G206" s="3"/>
      <c r="H206" s="3"/>
      <c r="I206" s="3"/>
      <c r="J206" s="3"/>
      <c r="K206" s="48"/>
    </row>
    <row r="207" spans="2:11" ht="15">
      <c r="B207" s="3"/>
      <c r="G207" s="3"/>
      <c r="H207" s="3"/>
      <c r="I207" s="3"/>
      <c r="J207" s="3"/>
      <c r="K207" s="48"/>
    </row>
    <row r="208" spans="2:11" ht="15">
      <c r="B208" s="3"/>
      <c r="G208" s="3"/>
      <c r="H208" s="3"/>
      <c r="I208" s="3"/>
      <c r="J208" s="3"/>
      <c r="K208" s="48"/>
    </row>
    <row r="209" spans="2:11" ht="15">
      <c r="B209" s="3"/>
      <c r="G209" s="3"/>
      <c r="H209" s="3"/>
      <c r="I209" s="3"/>
      <c r="J209" s="3"/>
      <c r="K209" s="48"/>
    </row>
    <row r="210" spans="2:11" ht="15">
      <c r="B210" s="3"/>
      <c r="G210" s="3"/>
      <c r="H210" s="3"/>
      <c r="I210" s="3"/>
      <c r="J210" s="3"/>
      <c r="K210" s="48"/>
    </row>
    <row r="211" spans="2:11" ht="15">
      <c r="B211" s="3"/>
      <c r="G211" s="3"/>
      <c r="H211" s="3"/>
      <c r="I211" s="3"/>
      <c r="J211" s="3"/>
      <c r="K211" s="48"/>
    </row>
    <row r="212" ht="15">
      <c r="B212" s="3" t="s">
        <v>281</v>
      </c>
    </row>
  </sheetData>
  <printOptions gridLines="1"/>
  <pageMargins left="0.75" right="0.75" top="1" bottom="1" header="0.5" footer="0.5"/>
  <pageSetup orientation="portrait" paperSize="9" scale="75" r:id="rId1"/>
  <rowBreaks count="2" manualBreakCount="2">
    <brk id="110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6"/>
  <sheetViews>
    <sheetView view="pageBreakPreview" zoomScaleSheetLayoutView="100" workbookViewId="0" topLeftCell="A193">
      <selection activeCell="H149" sqref="H149"/>
    </sheetView>
  </sheetViews>
  <sheetFormatPr defaultColWidth="9.00390625" defaultRowHeight="12.75"/>
  <cols>
    <col min="1" max="1" width="6.25390625" style="0" customWidth="1"/>
    <col min="2" max="2" width="27.625" style="0" customWidth="1"/>
    <col min="3" max="4" width="18.00390625" style="0" hidden="1" customWidth="1"/>
    <col min="5" max="5" width="12.75390625" style="0" hidden="1" customWidth="1"/>
    <col min="6" max="6" width="12.875" style="0" hidden="1" customWidth="1"/>
    <col min="7" max="7" width="17.25390625" style="0" customWidth="1"/>
    <col min="8" max="8" width="16.00390625" style="0" customWidth="1"/>
    <col min="9" max="9" width="16.125" style="0" customWidth="1"/>
    <col min="10" max="10" width="8.875" style="0" customWidth="1"/>
    <col min="20" max="20" width="9.625" style="0" bestFit="1" customWidth="1"/>
    <col min="21" max="21" width="11.00390625" style="0" customWidth="1"/>
    <col min="22" max="22" width="12.25390625" style="0" customWidth="1"/>
    <col min="23" max="23" width="16.25390625" style="0" customWidth="1"/>
  </cols>
  <sheetData>
    <row r="1" spans="1:27" ht="23.25">
      <c r="A1" s="3"/>
      <c r="C1" s="5" t="s">
        <v>136</v>
      </c>
      <c r="E1" s="5"/>
      <c r="F1" s="5"/>
      <c r="G1" s="5"/>
      <c r="H1" s="5"/>
      <c r="I1" s="161" t="s">
        <v>302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0.25">
      <c r="A3" s="3"/>
      <c r="B3" s="4"/>
      <c r="C3" s="4" t="s">
        <v>150</v>
      </c>
      <c r="D3" s="4"/>
      <c r="E3" s="3"/>
      <c r="F3" s="3"/>
      <c r="G3" s="3"/>
      <c r="H3" s="162" t="s">
        <v>532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>
      <c r="A4" s="3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>
      <c r="A5" s="3" t="s">
        <v>137</v>
      </c>
      <c r="B5" s="4"/>
      <c r="C5" s="4" t="s">
        <v>151</v>
      </c>
      <c r="D5" s="4"/>
      <c r="E5" s="4"/>
      <c r="F5" s="3"/>
      <c r="G5" s="4" t="s">
        <v>328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>
      <c r="A6" s="3" t="s">
        <v>138</v>
      </c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>
      <c r="A7" s="3" t="s">
        <v>139</v>
      </c>
      <c r="B7" s="4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>
      <c r="A8" s="3" t="s">
        <v>140</v>
      </c>
      <c r="B8" s="4"/>
      <c r="C8" s="4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thickBot="1">
      <c r="A9" s="3"/>
      <c r="B9" s="4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0"/>
      <c r="Y9" s="10"/>
      <c r="Z9" s="10"/>
      <c r="AA9" s="3"/>
    </row>
    <row r="10" spans="1:27" ht="15.75" thickBot="1">
      <c r="A10" s="24"/>
      <c r="B10" s="24" t="s">
        <v>141</v>
      </c>
      <c r="C10" s="7" t="s">
        <v>143</v>
      </c>
      <c r="D10" s="24" t="s">
        <v>145</v>
      </c>
      <c r="E10" s="8" t="s">
        <v>115</v>
      </c>
      <c r="F10" s="19" t="s">
        <v>147</v>
      </c>
      <c r="G10" s="9" t="s">
        <v>115</v>
      </c>
      <c r="H10" s="9" t="s">
        <v>283</v>
      </c>
      <c r="I10" s="145" t="s">
        <v>285</v>
      </c>
      <c r="J10" s="63"/>
      <c r="K10" s="148" t="s">
        <v>300</v>
      </c>
      <c r="L10" s="148"/>
      <c r="M10" s="148"/>
      <c r="N10" s="148"/>
      <c r="O10" s="148"/>
      <c r="P10" s="148"/>
      <c r="Q10" s="148"/>
      <c r="R10" s="148" t="s">
        <v>287</v>
      </c>
      <c r="S10" s="148" t="s">
        <v>499</v>
      </c>
      <c r="T10" s="148"/>
      <c r="U10" s="148"/>
      <c r="V10" s="141" t="s">
        <v>278</v>
      </c>
      <c r="W10" s="164" t="s">
        <v>301</v>
      </c>
      <c r="X10" s="10"/>
      <c r="Y10" s="10"/>
      <c r="Z10" s="10"/>
      <c r="AA10" s="3"/>
    </row>
    <row r="11" spans="1:27" ht="15">
      <c r="A11" s="23"/>
      <c r="B11" s="23" t="s">
        <v>142</v>
      </c>
      <c r="C11" s="10"/>
      <c r="D11" s="23" t="s">
        <v>144</v>
      </c>
      <c r="E11" s="11" t="s">
        <v>116</v>
      </c>
      <c r="F11" s="17" t="s">
        <v>148</v>
      </c>
      <c r="G11" s="12" t="s">
        <v>116</v>
      </c>
      <c r="H11" s="12" t="s">
        <v>284</v>
      </c>
      <c r="I11" s="146" t="s">
        <v>286</v>
      </c>
      <c r="J11" s="23"/>
      <c r="K11" s="10"/>
      <c r="L11" s="23"/>
      <c r="M11" s="10"/>
      <c r="N11" s="23"/>
      <c r="O11" s="10"/>
      <c r="P11" s="23"/>
      <c r="Q11" s="10"/>
      <c r="R11" s="24"/>
      <c r="S11" s="10"/>
      <c r="T11" s="24"/>
      <c r="U11" s="142"/>
      <c r="V11" s="142" t="s">
        <v>284</v>
      </c>
      <c r="W11" s="165" t="s">
        <v>116</v>
      </c>
      <c r="X11" s="10"/>
      <c r="Y11" s="10"/>
      <c r="Z11" s="10"/>
      <c r="AA11" s="3"/>
    </row>
    <row r="12" spans="1:27" ht="16.5" thickBot="1">
      <c r="A12" s="25"/>
      <c r="B12" s="25"/>
      <c r="C12" s="13"/>
      <c r="D12" s="25"/>
      <c r="E12" s="14" t="s">
        <v>146</v>
      </c>
      <c r="F12" s="18" t="s">
        <v>135</v>
      </c>
      <c r="G12" s="15" t="s">
        <v>149</v>
      </c>
      <c r="H12" s="15"/>
      <c r="I12" s="147" t="s">
        <v>516</v>
      </c>
      <c r="J12" s="149" t="s">
        <v>288</v>
      </c>
      <c r="K12" s="150" t="s">
        <v>289</v>
      </c>
      <c r="L12" s="149" t="s">
        <v>290</v>
      </c>
      <c r="M12" s="150" t="s">
        <v>291</v>
      </c>
      <c r="N12" s="149" t="s">
        <v>292</v>
      </c>
      <c r="O12" s="150" t="s">
        <v>293</v>
      </c>
      <c r="P12" s="149" t="s">
        <v>294</v>
      </c>
      <c r="Q12" s="150" t="s">
        <v>295</v>
      </c>
      <c r="R12" s="149" t="s">
        <v>296</v>
      </c>
      <c r="S12" s="150" t="s">
        <v>297</v>
      </c>
      <c r="T12" s="149" t="s">
        <v>298</v>
      </c>
      <c r="U12" s="150" t="s">
        <v>299</v>
      </c>
      <c r="V12" s="25" t="s">
        <v>270</v>
      </c>
      <c r="W12" s="166" t="s">
        <v>512</v>
      </c>
      <c r="X12" s="10"/>
      <c r="Y12" s="10"/>
      <c r="Z12" s="10"/>
      <c r="AA12" s="3"/>
    </row>
    <row r="13" spans="1:27" ht="15.75">
      <c r="A13" s="23">
        <v>1</v>
      </c>
      <c r="B13" s="29" t="s">
        <v>0</v>
      </c>
      <c r="C13" s="32">
        <v>130001010</v>
      </c>
      <c r="D13" s="33" t="s">
        <v>157</v>
      </c>
      <c r="E13" s="3">
        <v>578408</v>
      </c>
      <c r="F13" s="23">
        <v>1.27</v>
      </c>
      <c r="G13" s="48">
        <f aca="true" t="shared" si="0" ref="G13:G35">E13*F13</f>
        <v>734578.16</v>
      </c>
      <c r="H13" s="49">
        <v>718626.68</v>
      </c>
      <c r="I13" s="48">
        <f>G13-H13</f>
        <v>15951.479999999981</v>
      </c>
      <c r="J13" s="23">
        <v>1124</v>
      </c>
      <c r="K13" s="3">
        <v>1124</v>
      </c>
      <c r="L13" s="23">
        <v>1124</v>
      </c>
      <c r="M13" s="3">
        <v>1124</v>
      </c>
      <c r="N13" s="23">
        <v>1124</v>
      </c>
      <c r="O13" s="3">
        <v>1124</v>
      </c>
      <c r="P13" s="23">
        <v>1124</v>
      </c>
      <c r="Q13" s="3">
        <v>1124</v>
      </c>
      <c r="R13" s="23">
        <v>1124</v>
      </c>
      <c r="S13" s="3">
        <v>1124</v>
      </c>
      <c r="T13" s="23">
        <v>1124</v>
      </c>
      <c r="U13" s="3">
        <v>1124</v>
      </c>
      <c r="V13" s="23">
        <f aca="true" t="shared" si="1" ref="V13:V35">SUM(J13:U13)</f>
        <v>13488</v>
      </c>
      <c r="W13" s="50">
        <f>I13-V13</f>
        <v>2463.4799999999814</v>
      </c>
      <c r="X13" s="3"/>
      <c r="Y13" s="3"/>
      <c r="Z13" s="3"/>
      <c r="AA13" s="3"/>
    </row>
    <row r="14" spans="1:27" ht="15.75">
      <c r="A14" s="23">
        <v>2</v>
      </c>
      <c r="B14" s="30" t="s">
        <v>1</v>
      </c>
      <c r="C14" s="32">
        <v>130001010</v>
      </c>
      <c r="D14" s="33" t="s">
        <v>158</v>
      </c>
      <c r="E14" s="3">
        <v>494703</v>
      </c>
      <c r="F14" s="23">
        <v>1.27</v>
      </c>
      <c r="G14" s="50">
        <f t="shared" si="0"/>
        <v>628272.81</v>
      </c>
      <c r="H14" s="157">
        <v>607744.81</v>
      </c>
      <c r="I14" s="48">
        <f aca="true" t="shared" si="2" ref="I14:I35">G14-H14</f>
        <v>20528</v>
      </c>
      <c r="J14" s="163">
        <v>1047</v>
      </c>
      <c r="K14" s="23">
        <v>1047</v>
      </c>
      <c r="L14" s="23">
        <v>1047</v>
      </c>
      <c r="M14" s="23">
        <v>1047</v>
      </c>
      <c r="N14" s="23">
        <v>1047</v>
      </c>
      <c r="O14" s="23">
        <v>1047</v>
      </c>
      <c r="P14" s="23">
        <v>1047</v>
      </c>
      <c r="Q14" s="23">
        <v>1047</v>
      </c>
      <c r="R14" s="23">
        <v>1047</v>
      </c>
      <c r="S14" s="23">
        <v>1047</v>
      </c>
      <c r="T14" s="23">
        <v>1047</v>
      </c>
      <c r="U14" s="23">
        <v>1048</v>
      </c>
      <c r="V14" s="23">
        <f t="shared" si="1"/>
        <v>12565</v>
      </c>
      <c r="W14" s="23">
        <f aca="true" t="shared" si="3" ref="W14:W35">I14-V14</f>
        <v>7963</v>
      </c>
      <c r="X14" s="3"/>
      <c r="Y14" s="3"/>
      <c r="Z14" s="3"/>
      <c r="AA14" s="3"/>
    </row>
    <row r="15" spans="1:27" ht="15.75">
      <c r="A15" s="23">
        <v>3</v>
      </c>
      <c r="B15" s="26" t="s">
        <v>2</v>
      </c>
      <c r="C15" s="32">
        <v>130001010</v>
      </c>
      <c r="D15" s="33" t="s">
        <v>159</v>
      </c>
      <c r="E15" s="3">
        <v>68972</v>
      </c>
      <c r="F15" s="23">
        <v>1.27</v>
      </c>
      <c r="G15" s="50">
        <f t="shared" si="0"/>
        <v>87594.44</v>
      </c>
      <c r="H15" s="158">
        <v>87594.44</v>
      </c>
      <c r="I15" s="48">
        <f t="shared" si="2"/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f t="shared" si="1"/>
        <v>0</v>
      </c>
      <c r="W15" s="23">
        <f t="shared" si="3"/>
        <v>0</v>
      </c>
      <c r="X15" s="3"/>
      <c r="Y15" s="3"/>
      <c r="Z15" s="3"/>
      <c r="AA15" s="3"/>
    </row>
    <row r="16" spans="1:27" ht="15.75">
      <c r="A16" s="23">
        <v>4</v>
      </c>
      <c r="B16" s="30" t="s">
        <v>3</v>
      </c>
      <c r="C16" s="32">
        <v>130001010</v>
      </c>
      <c r="D16" s="33" t="s">
        <v>160</v>
      </c>
      <c r="E16" s="3">
        <v>328027</v>
      </c>
      <c r="F16" s="23">
        <v>1.27</v>
      </c>
      <c r="G16" s="50">
        <f t="shared" si="0"/>
        <v>416594.29</v>
      </c>
      <c r="H16" s="155">
        <v>392331.29</v>
      </c>
      <c r="I16" s="48">
        <f t="shared" si="2"/>
        <v>24263</v>
      </c>
      <c r="J16" s="23">
        <v>694</v>
      </c>
      <c r="K16" s="23">
        <v>694</v>
      </c>
      <c r="L16" s="23">
        <v>694</v>
      </c>
      <c r="M16" s="23">
        <v>694</v>
      </c>
      <c r="N16" s="23">
        <v>694</v>
      </c>
      <c r="O16" s="23">
        <v>694</v>
      </c>
      <c r="P16" s="23">
        <v>694</v>
      </c>
      <c r="Q16" s="23">
        <v>694</v>
      </c>
      <c r="R16" s="23">
        <v>694</v>
      </c>
      <c r="S16" s="23">
        <v>694</v>
      </c>
      <c r="T16" s="23">
        <v>694</v>
      </c>
      <c r="U16" s="23">
        <v>698</v>
      </c>
      <c r="V16" s="23">
        <f t="shared" si="1"/>
        <v>8332</v>
      </c>
      <c r="W16" s="23">
        <f t="shared" si="3"/>
        <v>15931</v>
      </c>
      <c r="X16" s="3"/>
      <c r="Y16" s="3"/>
      <c r="Z16" s="3"/>
      <c r="AA16" s="3"/>
    </row>
    <row r="17" spans="1:27" ht="15.75">
      <c r="A17" s="23">
        <v>5</v>
      </c>
      <c r="B17" s="26" t="s">
        <v>4</v>
      </c>
      <c r="C17" s="32">
        <v>130001010</v>
      </c>
      <c r="D17" s="33" t="s">
        <v>162</v>
      </c>
      <c r="E17" s="3">
        <v>68972</v>
      </c>
      <c r="F17" s="23">
        <v>1.27</v>
      </c>
      <c r="G17" s="50">
        <f t="shared" si="0"/>
        <v>87594.44</v>
      </c>
      <c r="H17" s="154">
        <v>87594.44</v>
      </c>
      <c r="I17" s="48">
        <f t="shared" si="2"/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f t="shared" si="1"/>
        <v>0</v>
      </c>
      <c r="W17" s="23">
        <f t="shared" si="3"/>
        <v>0</v>
      </c>
      <c r="X17" s="3"/>
      <c r="Y17" s="3"/>
      <c r="Z17" s="3"/>
      <c r="AA17" s="3"/>
    </row>
    <row r="18" spans="1:27" ht="15.75">
      <c r="A18" s="23">
        <v>6</v>
      </c>
      <c r="B18" s="30" t="s">
        <v>5</v>
      </c>
      <c r="C18" s="32">
        <v>130001010</v>
      </c>
      <c r="D18" s="33" t="s">
        <v>163</v>
      </c>
      <c r="E18" s="3">
        <v>454371</v>
      </c>
      <c r="F18" s="23">
        <v>1.27</v>
      </c>
      <c r="G18" s="50">
        <f t="shared" si="0"/>
        <v>577051.17</v>
      </c>
      <c r="H18" s="50">
        <v>488708.44</v>
      </c>
      <c r="I18" s="48">
        <f t="shared" si="2"/>
        <v>88342.73000000004</v>
      </c>
      <c r="J18" s="23">
        <v>962</v>
      </c>
      <c r="K18" s="23">
        <v>962</v>
      </c>
      <c r="L18" s="23">
        <v>962</v>
      </c>
      <c r="M18" s="23">
        <v>962</v>
      </c>
      <c r="N18" s="23">
        <v>962</v>
      </c>
      <c r="O18" s="23">
        <v>962</v>
      </c>
      <c r="P18" s="23">
        <v>962</v>
      </c>
      <c r="Q18" s="23">
        <v>962</v>
      </c>
      <c r="R18" s="23">
        <v>962</v>
      </c>
      <c r="S18" s="23">
        <v>962</v>
      </c>
      <c r="T18" s="23">
        <v>962</v>
      </c>
      <c r="U18" s="23">
        <v>959</v>
      </c>
      <c r="V18" s="23">
        <f t="shared" si="1"/>
        <v>11541</v>
      </c>
      <c r="W18" s="23">
        <f t="shared" si="3"/>
        <v>76801.73000000004</v>
      </c>
      <c r="X18" s="3"/>
      <c r="Y18" s="3"/>
      <c r="Z18" s="3"/>
      <c r="AA18" s="3"/>
    </row>
    <row r="19" spans="1:27" ht="15.75">
      <c r="A19" s="23">
        <v>7</v>
      </c>
      <c r="B19" s="29" t="s">
        <v>6</v>
      </c>
      <c r="C19" s="32">
        <v>130001010</v>
      </c>
      <c r="D19" s="33" t="s">
        <v>164</v>
      </c>
      <c r="E19" s="3">
        <v>68972</v>
      </c>
      <c r="F19" s="23">
        <v>1.27</v>
      </c>
      <c r="G19" s="50">
        <f t="shared" si="0"/>
        <v>87594.44</v>
      </c>
      <c r="H19" s="154">
        <v>87594.44</v>
      </c>
      <c r="I19" s="48">
        <f t="shared" si="2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f t="shared" si="1"/>
        <v>0</v>
      </c>
      <c r="W19" s="23">
        <f t="shared" si="3"/>
        <v>0</v>
      </c>
      <c r="X19" s="3"/>
      <c r="Y19" s="3"/>
      <c r="Z19" s="3"/>
      <c r="AA19" s="3"/>
    </row>
    <row r="20" spans="1:27" ht="15.75">
      <c r="A20" s="23">
        <v>8</v>
      </c>
      <c r="B20" s="30" t="s">
        <v>7</v>
      </c>
      <c r="C20" s="32">
        <v>130001010</v>
      </c>
      <c r="D20" s="33" t="s">
        <v>166</v>
      </c>
      <c r="E20" s="3">
        <v>418640</v>
      </c>
      <c r="F20" s="23">
        <v>1.27</v>
      </c>
      <c r="G20" s="50">
        <f t="shared" si="0"/>
        <v>531672.8</v>
      </c>
      <c r="H20" s="156">
        <v>422974.8</v>
      </c>
      <c r="I20" s="48">
        <f t="shared" si="2"/>
        <v>108698.00000000006</v>
      </c>
      <c r="J20" s="23">
        <v>1457</v>
      </c>
      <c r="K20" s="23">
        <v>1457</v>
      </c>
      <c r="L20" s="23">
        <v>1457</v>
      </c>
      <c r="M20" s="23">
        <v>1457</v>
      </c>
      <c r="N20" s="23">
        <v>1457</v>
      </c>
      <c r="O20" s="23">
        <v>1457</v>
      </c>
      <c r="P20" s="23">
        <v>1458</v>
      </c>
      <c r="Q20" s="23">
        <v>1458</v>
      </c>
      <c r="R20" s="23">
        <v>1458</v>
      </c>
      <c r="S20" s="23">
        <v>1458</v>
      </c>
      <c r="T20" s="23">
        <v>1458</v>
      </c>
      <c r="U20" s="23">
        <v>1458</v>
      </c>
      <c r="V20" s="23">
        <f t="shared" si="1"/>
        <v>17490</v>
      </c>
      <c r="W20" s="23">
        <f t="shared" si="3"/>
        <v>91208.00000000006</v>
      </c>
      <c r="X20" s="3"/>
      <c r="Y20" s="3"/>
      <c r="Z20" s="3"/>
      <c r="AA20" s="3"/>
    </row>
    <row r="21" spans="1:27" ht="15.75">
      <c r="A21" s="23">
        <v>9</v>
      </c>
      <c r="B21" s="26" t="s">
        <v>8</v>
      </c>
      <c r="C21" s="32">
        <v>130001010</v>
      </c>
      <c r="D21" s="33" t="s">
        <v>161</v>
      </c>
      <c r="E21" s="3">
        <v>68895</v>
      </c>
      <c r="F21" s="23">
        <v>1.27</v>
      </c>
      <c r="G21" s="50">
        <f t="shared" si="0"/>
        <v>87496.65</v>
      </c>
      <c r="H21" s="154">
        <v>87496.65</v>
      </c>
      <c r="I21" s="48">
        <f t="shared" si="2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f t="shared" si="1"/>
        <v>0</v>
      </c>
      <c r="W21" s="23">
        <f t="shared" si="3"/>
        <v>0</v>
      </c>
      <c r="X21" s="3"/>
      <c r="Y21" s="3"/>
      <c r="Z21" s="3"/>
      <c r="AA21" s="3"/>
    </row>
    <row r="22" spans="1:27" ht="15.75">
      <c r="A22" s="23">
        <v>10</v>
      </c>
      <c r="B22" s="29" t="s">
        <v>10</v>
      </c>
      <c r="C22" s="32">
        <v>130001010</v>
      </c>
      <c r="D22" s="33" t="s">
        <v>167</v>
      </c>
      <c r="E22" s="3">
        <v>305080</v>
      </c>
      <c r="F22" s="23">
        <v>1.27</v>
      </c>
      <c r="G22" s="50">
        <f t="shared" si="0"/>
        <v>387451.6</v>
      </c>
      <c r="H22" s="154">
        <v>304799.6</v>
      </c>
      <c r="I22" s="48">
        <f t="shared" si="2"/>
        <v>82652</v>
      </c>
      <c r="J22" s="23">
        <v>645</v>
      </c>
      <c r="K22" s="23">
        <v>645</v>
      </c>
      <c r="L22" s="23">
        <v>645</v>
      </c>
      <c r="M22" s="23">
        <v>645</v>
      </c>
      <c r="N22" s="23">
        <v>645</v>
      </c>
      <c r="O22" s="23">
        <v>645</v>
      </c>
      <c r="P22" s="23">
        <v>645</v>
      </c>
      <c r="Q22" s="23">
        <v>645</v>
      </c>
      <c r="R22" s="23">
        <v>645</v>
      </c>
      <c r="S22" s="23">
        <v>645</v>
      </c>
      <c r="T22" s="23">
        <v>650</v>
      </c>
      <c r="U22" s="23">
        <v>650</v>
      </c>
      <c r="V22" s="23">
        <f t="shared" si="1"/>
        <v>7750</v>
      </c>
      <c r="W22" s="23">
        <f t="shared" si="3"/>
        <v>74902</v>
      </c>
      <c r="X22" s="3"/>
      <c r="Y22" s="3"/>
      <c r="Z22" s="3"/>
      <c r="AA22" s="3"/>
    </row>
    <row r="23" spans="1:27" ht="15.75">
      <c r="A23" s="23">
        <v>11</v>
      </c>
      <c r="B23" s="30" t="s">
        <v>11</v>
      </c>
      <c r="C23" s="32">
        <v>130001010</v>
      </c>
      <c r="D23" s="33" t="s">
        <v>168</v>
      </c>
      <c r="E23" s="3">
        <v>68895</v>
      </c>
      <c r="F23" s="23">
        <v>1.27</v>
      </c>
      <c r="G23" s="50">
        <f t="shared" si="0"/>
        <v>87496.65</v>
      </c>
      <c r="H23" s="50">
        <v>87496.65</v>
      </c>
      <c r="I23" s="48">
        <f t="shared" si="2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f t="shared" si="1"/>
        <v>0</v>
      </c>
      <c r="W23" s="23">
        <f t="shared" si="3"/>
        <v>0</v>
      </c>
      <c r="X23" s="3"/>
      <c r="Y23" s="3"/>
      <c r="Z23" s="3"/>
      <c r="AA23" s="3"/>
    </row>
    <row r="24" spans="1:27" ht="15.75">
      <c r="A24" s="23">
        <v>12</v>
      </c>
      <c r="B24" s="26" t="s">
        <v>12</v>
      </c>
      <c r="C24" s="32">
        <v>130001010</v>
      </c>
      <c r="D24" s="33" t="s">
        <v>169</v>
      </c>
      <c r="E24" s="3">
        <v>286175</v>
      </c>
      <c r="F24" s="23">
        <v>1.27</v>
      </c>
      <c r="G24" s="50">
        <f t="shared" si="0"/>
        <v>363442.25</v>
      </c>
      <c r="H24" s="154">
        <v>292082.25</v>
      </c>
      <c r="I24" s="48">
        <f t="shared" si="2"/>
        <v>71360</v>
      </c>
      <c r="J24" s="23">
        <v>606</v>
      </c>
      <c r="K24" s="23">
        <v>606</v>
      </c>
      <c r="L24" s="23">
        <v>606</v>
      </c>
      <c r="M24" s="23">
        <v>606</v>
      </c>
      <c r="N24" s="23">
        <v>606</v>
      </c>
      <c r="O24" s="23">
        <v>606</v>
      </c>
      <c r="P24" s="23">
        <v>606</v>
      </c>
      <c r="Q24" s="23">
        <v>606</v>
      </c>
      <c r="R24" s="23">
        <v>606</v>
      </c>
      <c r="S24" s="23">
        <v>606</v>
      </c>
      <c r="T24" s="23">
        <v>605</v>
      </c>
      <c r="U24" s="23">
        <v>604</v>
      </c>
      <c r="V24" s="23">
        <f t="shared" si="1"/>
        <v>7269</v>
      </c>
      <c r="W24" s="23">
        <f t="shared" si="3"/>
        <v>64091</v>
      </c>
      <c r="X24" s="3"/>
      <c r="Y24" s="3"/>
      <c r="Z24" s="3"/>
      <c r="AA24" s="3"/>
    </row>
    <row r="25" spans="1:27" ht="15.75">
      <c r="A25" s="23">
        <v>13</v>
      </c>
      <c r="B25" s="26" t="s">
        <v>14</v>
      </c>
      <c r="C25" s="32">
        <v>130001010</v>
      </c>
      <c r="D25" s="33" t="s">
        <v>170</v>
      </c>
      <c r="E25" s="3">
        <v>249300</v>
      </c>
      <c r="F25" s="23">
        <v>1.27</v>
      </c>
      <c r="G25" s="50">
        <f t="shared" si="0"/>
        <v>316611</v>
      </c>
      <c r="H25" s="154">
        <v>276532</v>
      </c>
      <c r="I25" s="48">
        <f t="shared" si="2"/>
        <v>40079</v>
      </c>
      <c r="J25" s="23">
        <v>528</v>
      </c>
      <c r="K25" s="23">
        <v>528</v>
      </c>
      <c r="L25" s="23">
        <v>528</v>
      </c>
      <c r="M25" s="23">
        <v>528</v>
      </c>
      <c r="N25" s="23">
        <v>528</v>
      </c>
      <c r="O25" s="23">
        <v>528</v>
      </c>
      <c r="P25" s="23">
        <v>528</v>
      </c>
      <c r="Q25" s="23">
        <v>528</v>
      </c>
      <c r="R25" s="23">
        <v>528</v>
      </c>
      <c r="S25" s="23">
        <v>528</v>
      </c>
      <c r="T25" s="23">
        <v>528</v>
      </c>
      <c r="U25" s="23">
        <v>524</v>
      </c>
      <c r="V25" s="23">
        <f t="shared" si="1"/>
        <v>6332</v>
      </c>
      <c r="W25" s="23">
        <f t="shared" si="3"/>
        <v>33747</v>
      </c>
      <c r="X25" s="3"/>
      <c r="Y25" s="3"/>
      <c r="Z25" s="3"/>
      <c r="AA25" s="3"/>
    </row>
    <row r="26" spans="1:27" ht="15.75">
      <c r="A26" s="23">
        <v>14</v>
      </c>
      <c r="B26" s="26" t="s">
        <v>17</v>
      </c>
      <c r="C26" s="32">
        <v>130001010</v>
      </c>
      <c r="D26" s="33" t="s">
        <v>172</v>
      </c>
      <c r="E26" s="3">
        <v>68972</v>
      </c>
      <c r="F26" s="23">
        <v>1.27</v>
      </c>
      <c r="G26" s="50">
        <f t="shared" si="0"/>
        <v>87594.44</v>
      </c>
      <c r="H26" s="154">
        <v>87594.44</v>
      </c>
      <c r="I26" s="48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f t="shared" si="1"/>
        <v>0</v>
      </c>
      <c r="W26" s="23">
        <f t="shared" si="3"/>
        <v>0</v>
      </c>
      <c r="X26" s="3"/>
      <c r="Y26" s="3"/>
      <c r="Z26" s="3"/>
      <c r="AA26" s="3"/>
    </row>
    <row r="27" spans="1:27" ht="15.75">
      <c r="A27" s="23">
        <v>15</v>
      </c>
      <c r="B27" s="30" t="s">
        <v>18</v>
      </c>
      <c r="C27" s="32">
        <v>130001010</v>
      </c>
      <c r="D27" s="33" t="s">
        <v>173</v>
      </c>
      <c r="E27" s="3">
        <v>122678</v>
      </c>
      <c r="F27" s="23">
        <v>1.27</v>
      </c>
      <c r="G27" s="50">
        <f t="shared" si="0"/>
        <v>155801.06</v>
      </c>
      <c r="H27" s="154">
        <v>155801.06</v>
      </c>
      <c r="I27" s="48">
        <f t="shared" si="2"/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f t="shared" si="1"/>
        <v>0</v>
      </c>
      <c r="W27" s="23">
        <f t="shared" si="3"/>
        <v>0</v>
      </c>
      <c r="X27" s="3"/>
      <c r="Y27" s="3"/>
      <c r="Z27" s="3"/>
      <c r="AA27" s="3"/>
    </row>
    <row r="28" spans="1:27" ht="15.75">
      <c r="A28" s="23">
        <v>16</v>
      </c>
      <c r="B28" s="26" t="s">
        <v>19</v>
      </c>
      <c r="C28" s="32">
        <v>130001010</v>
      </c>
      <c r="D28" s="33" t="s">
        <v>174</v>
      </c>
      <c r="E28" s="3">
        <v>69045</v>
      </c>
      <c r="F28" s="23">
        <v>1.27</v>
      </c>
      <c r="G28" s="50">
        <f t="shared" si="0"/>
        <v>87687.15</v>
      </c>
      <c r="H28" s="156">
        <v>87687.15</v>
      </c>
      <c r="I28" s="48">
        <f t="shared" si="2"/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si="1"/>
        <v>0</v>
      </c>
      <c r="W28" s="23">
        <f t="shared" si="3"/>
        <v>0</v>
      </c>
      <c r="X28" s="3"/>
      <c r="Y28" s="3"/>
      <c r="Z28" s="3"/>
      <c r="AA28" s="3"/>
    </row>
    <row r="29" spans="1:27" ht="15.75">
      <c r="A29" s="23">
        <v>17</v>
      </c>
      <c r="B29" s="30" t="s">
        <v>20</v>
      </c>
      <c r="C29" s="32">
        <v>130001010</v>
      </c>
      <c r="D29" s="33" t="s">
        <v>175</v>
      </c>
      <c r="E29" s="3">
        <v>68972</v>
      </c>
      <c r="F29" s="23">
        <v>1.27</v>
      </c>
      <c r="G29" s="50">
        <f t="shared" si="0"/>
        <v>87594.44</v>
      </c>
      <c r="H29" s="154">
        <v>87594.44</v>
      </c>
      <c r="I29" s="48">
        <f t="shared" si="2"/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si="1"/>
        <v>0</v>
      </c>
      <c r="W29" s="23">
        <f t="shared" si="3"/>
        <v>0</v>
      </c>
      <c r="X29" s="3"/>
      <c r="Y29" s="3"/>
      <c r="Z29" s="3"/>
      <c r="AA29" s="3"/>
    </row>
    <row r="30" spans="1:27" ht="15.75">
      <c r="A30" s="23">
        <v>18</v>
      </c>
      <c r="B30" s="26" t="s">
        <v>21</v>
      </c>
      <c r="C30" s="32">
        <v>130001010</v>
      </c>
      <c r="D30" s="33" t="s">
        <v>176</v>
      </c>
      <c r="E30" s="3">
        <v>67564</v>
      </c>
      <c r="F30" s="23">
        <v>1.27</v>
      </c>
      <c r="G30" s="48">
        <f t="shared" si="0"/>
        <v>85806.28</v>
      </c>
      <c r="H30" s="154">
        <v>85806.28</v>
      </c>
      <c r="I30" s="48">
        <f t="shared" si="2"/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f t="shared" si="1"/>
        <v>0</v>
      </c>
      <c r="W30" s="23">
        <f t="shared" si="3"/>
        <v>0</v>
      </c>
      <c r="X30" s="3"/>
      <c r="Y30" s="3"/>
      <c r="Z30" s="3"/>
      <c r="AA30" s="3"/>
    </row>
    <row r="31" spans="1:27" ht="15.75">
      <c r="A31" s="23">
        <v>19</v>
      </c>
      <c r="B31" s="30" t="s">
        <v>22</v>
      </c>
      <c r="C31" s="32">
        <v>130001010</v>
      </c>
      <c r="D31" s="33" t="s">
        <v>177</v>
      </c>
      <c r="E31" s="3">
        <v>54824</v>
      </c>
      <c r="F31" s="23">
        <v>1.27</v>
      </c>
      <c r="G31" s="48">
        <f t="shared" si="0"/>
        <v>69626.48</v>
      </c>
      <c r="H31" s="154">
        <v>69626.48</v>
      </c>
      <c r="I31" s="48">
        <f t="shared" si="2"/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f t="shared" si="1"/>
        <v>0</v>
      </c>
      <c r="W31" s="23">
        <f t="shared" si="3"/>
        <v>0</v>
      </c>
      <c r="X31" s="3"/>
      <c r="Y31" s="3"/>
      <c r="Z31" s="3"/>
      <c r="AA31" s="3"/>
    </row>
    <row r="32" spans="1:27" ht="15.75">
      <c r="A32" s="23">
        <v>20</v>
      </c>
      <c r="B32" s="26" t="s">
        <v>23</v>
      </c>
      <c r="C32" s="32">
        <v>130001010</v>
      </c>
      <c r="D32" s="33" t="s">
        <v>178</v>
      </c>
      <c r="E32" s="3">
        <v>52204</v>
      </c>
      <c r="F32" s="23">
        <v>1.27</v>
      </c>
      <c r="G32" s="48">
        <f t="shared" si="0"/>
        <v>66299.08</v>
      </c>
      <c r="H32" s="154">
        <v>66299.08</v>
      </c>
      <c r="I32" s="48">
        <f t="shared" si="2"/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f t="shared" si="1"/>
        <v>0</v>
      </c>
      <c r="W32" s="23">
        <f t="shared" si="3"/>
        <v>0</v>
      </c>
      <c r="X32" s="3"/>
      <c r="Y32" s="3"/>
      <c r="Z32" s="3"/>
      <c r="AA32" s="3"/>
    </row>
    <row r="33" spans="1:27" ht="15.75">
      <c r="A33" s="23">
        <v>21</v>
      </c>
      <c r="B33" s="30" t="s">
        <v>25</v>
      </c>
      <c r="C33" s="32">
        <v>130001010</v>
      </c>
      <c r="D33" s="33" t="s">
        <v>179</v>
      </c>
      <c r="E33" s="3">
        <v>115668</v>
      </c>
      <c r="F33" s="23">
        <v>1.27</v>
      </c>
      <c r="G33" s="48">
        <f t="shared" si="0"/>
        <v>146898.36000000002</v>
      </c>
      <c r="H33" s="154">
        <v>146898.36</v>
      </c>
      <c r="I33" s="48">
        <f t="shared" si="2"/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f t="shared" si="1"/>
        <v>0</v>
      </c>
      <c r="W33" s="23">
        <f t="shared" si="3"/>
        <v>0</v>
      </c>
      <c r="X33" s="3"/>
      <c r="Y33" s="3"/>
      <c r="Z33" s="3"/>
      <c r="AA33" s="3"/>
    </row>
    <row r="34" spans="1:27" ht="15.75">
      <c r="A34" s="23">
        <v>22</v>
      </c>
      <c r="B34" s="29" t="s">
        <v>26</v>
      </c>
      <c r="C34" s="32">
        <v>130001010</v>
      </c>
      <c r="D34" s="33" t="s">
        <v>180</v>
      </c>
      <c r="E34" s="3">
        <v>67564</v>
      </c>
      <c r="F34" s="23">
        <v>1.27</v>
      </c>
      <c r="G34" s="48">
        <f t="shared" si="0"/>
        <v>85806.28</v>
      </c>
      <c r="H34" s="154">
        <v>85806.28</v>
      </c>
      <c r="I34" s="48">
        <f t="shared" si="2"/>
        <v>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f t="shared" si="1"/>
        <v>0</v>
      </c>
      <c r="W34" s="23">
        <f t="shared" si="3"/>
        <v>0</v>
      </c>
      <c r="X34" s="3"/>
      <c r="Y34" s="3"/>
      <c r="Z34" s="3"/>
      <c r="AA34" s="3"/>
    </row>
    <row r="35" spans="1:27" ht="15.75">
      <c r="A35" s="23">
        <v>23</v>
      </c>
      <c r="B35" s="30" t="s">
        <v>28</v>
      </c>
      <c r="C35" s="32">
        <v>130001010</v>
      </c>
      <c r="D35" s="33" t="s">
        <v>181</v>
      </c>
      <c r="E35" s="3">
        <v>54824</v>
      </c>
      <c r="F35" s="23">
        <v>1.27</v>
      </c>
      <c r="G35" s="48">
        <f t="shared" si="0"/>
        <v>69626.48</v>
      </c>
      <c r="H35" s="154">
        <v>69626.48</v>
      </c>
      <c r="I35" s="48">
        <f t="shared" si="2"/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si="1"/>
        <v>0</v>
      </c>
      <c r="W35" s="23">
        <f t="shared" si="3"/>
        <v>0</v>
      </c>
      <c r="X35" s="3"/>
      <c r="Y35" s="3"/>
      <c r="Z35" s="3"/>
      <c r="AA35" s="3"/>
    </row>
    <row r="36" spans="1:27" ht="15.75">
      <c r="A36" s="23">
        <v>24</v>
      </c>
      <c r="B36" s="29" t="s">
        <v>29</v>
      </c>
      <c r="C36" s="32">
        <v>130001010</v>
      </c>
      <c r="D36" s="33" t="s">
        <v>182</v>
      </c>
      <c r="E36" s="3">
        <v>442305</v>
      </c>
      <c r="F36" s="23">
        <v>1.27</v>
      </c>
      <c r="G36" s="48">
        <f aca="true" t="shared" si="4" ref="G36:G63">E36*F36</f>
        <v>561727.35</v>
      </c>
      <c r="H36" s="154">
        <v>561727.35</v>
      </c>
      <c r="I36" s="48">
        <f aca="true" t="shared" si="5" ref="I36:I63">G36-H36</f>
        <v>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f aca="true" t="shared" si="6" ref="V36:V63">SUM(J36:U36)</f>
        <v>0</v>
      </c>
      <c r="W36" s="23">
        <f aca="true" t="shared" si="7" ref="W36:W63">I36-V36</f>
        <v>0</v>
      </c>
      <c r="X36" s="3"/>
      <c r="Y36" s="3"/>
      <c r="Z36" s="3"/>
      <c r="AA36" s="3"/>
    </row>
    <row r="37" spans="1:27" ht="15.75">
      <c r="A37" s="23">
        <v>25</v>
      </c>
      <c r="B37" s="26" t="s">
        <v>30</v>
      </c>
      <c r="C37" s="32">
        <v>130001010</v>
      </c>
      <c r="D37" s="33" t="s">
        <v>183</v>
      </c>
      <c r="E37" s="3">
        <v>68972</v>
      </c>
      <c r="F37" s="23">
        <v>1.27</v>
      </c>
      <c r="G37" s="48">
        <f t="shared" si="4"/>
        <v>87594.44</v>
      </c>
      <c r="H37" s="154">
        <v>87594.44</v>
      </c>
      <c r="I37" s="48">
        <f t="shared" si="5"/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f t="shared" si="6"/>
        <v>0</v>
      </c>
      <c r="W37" s="23">
        <f t="shared" si="7"/>
        <v>0</v>
      </c>
      <c r="X37" s="3"/>
      <c r="Y37" s="3"/>
      <c r="Z37" s="3"/>
      <c r="AA37" s="3"/>
    </row>
    <row r="38" spans="1:27" ht="15.75">
      <c r="A38" s="23">
        <v>26</v>
      </c>
      <c r="B38" s="30" t="s">
        <v>31</v>
      </c>
      <c r="C38" s="32">
        <v>130001010</v>
      </c>
      <c r="D38" s="33" t="s">
        <v>184</v>
      </c>
      <c r="E38" s="3">
        <v>122662</v>
      </c>
      <c r="F38" s="23">
        <v>1.27</v>
      </c>
      <c r="G38" s="48">
        <f t="shared" si="4"/>
        <v>155780.74</v>
      </c>
      <c r="H38" s="154">
        <v>155780.74</v>
      </c>
      <c r="I38" s="48">
        <f t="shared" si="5"/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f t="shared" si="6"/>
        <v>0</v>
      </c>
      <c r="W38" s="23">
        <f t="shared" si="7"/>
        <v>0</v>
      </c>
      <c r="X38" s="3"/>
      <c r="Y38" s="3"/>
      <c r="Z38" s="3"/>
      <c r="AA38" s="3"/>
    </row>
    <row r="39" spans="1:27" ht="15.75">
      <c r="A39" s="23">
        <v>27</v>
      </c>
      <c r="B39" s="30" t="s">
        <v>123</v>
      </c>
      <c r="C39" s="32">
        <v>130001010</v>
      </c>
      <c r="D39" s="33" t="s">
        <v>185</v>
      </c>
      <c r="E39" s="3">
        <v>67564</v>
      </c>
      <c r="F39" s="23">
        <v>1.27</v>
      </c>
      <c r="G39" s="48">
        <f t="shared" si="4"/>
        <v>85806.28</v>
      </c>
      <c r="H39" s="154">
        <v>85806.28</v>
      </c>
      <c r="I39" s="48">
        <f t="shared" si="5"/>
        <v>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f>J39+K39+L39+M39+N39+O39+P39+Q39+R39+S39+T39+U39</f>
        <v>0</v>
      </c>
      <c r="W39" s="23">
        <f t="shared" si="7"/>
        <v>0</v>
      </c>
      <c r="X39" s="3"/>
      <c r="Y39" s="3"/>
      <c r="Z39" s="3"/>
      <c r="AA39" s="3"/>
    </row>
    <row r="40" spans="1:27" ht="15.75">
      <c r="A40" s="23">
        <v>28</v>
      </c>
      <c r="B40" s="29" t="s">
        <v>481</v>
      </c>
      <c r="C40" s="32">
        <v>130001010</v>
      </c>
      <c r="D40" s="33" t="s">
        <v>186</v>
      </c>
      <c r="E40" s="3">
        <v>88220</v>
      </c>
      <c r="F40" s="23">
        <v>1.27</v>
      </c>
      <c r="G40" s="48">
        <f t="shared" si="4"/>
        <v>112039.40000000001</v>
      </c>
      <c r="H40" s="154">
        <v>112039.4</v>
      </c>
      <c r="I40" s="48">
        <f t="shared" si="5"/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f t="shared" si="6"/>
        <v>0</v>
      </c>
      <c r="W40" s="23">
        <f t="shared" si="7"/>
        <v>0</v>
      </c>
      <c r="X40" s="3"/>
      <c r="Y40" s="3"/>
      <c r="Z40" s="3"/>
      <c r="AA40" s="3"/>
    </row>
    <row r="41" spans="1:27" ht="15.75">
      <c r="A41" s="23">
        <v>29</v>
      </c>
      <c r="B41" s="30" t="s">
        <v>482</v>
      </c>
      <c r="C41" s="32">
        <v>130001010</v>
      </c>
      <c r="D41" s="33" t="s">
        <v>187</v>
      </c>
      <c r="E41" s="3">
        <v>51287</v>
      </c>
      <c r="F41" s="23">
        <v>1.27</v>
      </c>
      <c r="G41" s="48">
        <f t="shared" si="4"/>
        <v>65134.49</v>
      </c>
      <c r="H41" s="154">
        <v>65134.49</v>
      </c>
      <c r="I41" s="48">
        <f t="shared" si="5"/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f t="shared" si="6"/>
        <v>0</v>
      </c>
      <c r="W41" s="23">
        <f t="shared" si="7"/>
        <v>0</v>
      </c>
      <c r="X41" s="3"/>
      <c r="Y41" s="3"/>
      <c r="Z41" s="3"/>
      <c r="AA41" s="3"/>
    </row>
    <row r="42" spans="1:27" ht="15.75">
      <c r="A42" s="23">
        <v>30</v>
      </c>
      <c r="B42" s="26" t="s">
        <v>483</v>
      </c>
      <c r="C42" s="32">
        <v>130001010</v>
      </c>
      <c r="D42" s="33" t="s">
        <v>188</v>
      </c>
      <c r="E42" s="3">
        <v>51287</v>
      </c>
      <c r="F42" s="23">
        <v>1.27</v>
      </c>
      <c r="G42" s="48">
        <f t="shared" si="4"/>
        <v>65134.49</v>
      </c>
      <c r="H42" s="154">
        <v>65134.49</v>
      </c>
      <c r="I42" s="48">
        <f t="shared" si="5"/>
        <v>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f t="shared" si="6"/>
        <v>0</v>
      </c>
      <c r="W42" s="23">
        <f t="shared" si="7"/>
        <v>0</v>
      </c>
      <c r="X42" s="3"/>
      <c r="Y42" s="3"/>
      <c r="Z42" s="3"/>
      <c r="AA42" s="3"/>
    </row>
    <row r="43" spans="1:27" ht="15.75">
      <c r="A43" s="23">
        <v>31</v>
      </c>
      <c r="B43" s="30" t="s">
        <v>484</v>
      </c>
      <c r="C43" s="32">
        <v>130001010</v>
      </c>
      <c r="D43" s="33" t="s">
        <v>189</v>
      </c>
      <c r="E43" s="3">
        <v>56607</v>
      </c>
      <c r="F43" s="23">
        <v>1.27</v>
      </c>
      <c r="G43" s="48">
        <f t="shared" si="4"/>
        <v>71890.89</v>
      </c>
      <c r="H43" s="154">
        <v>71890.89</v>
      </c>
      <c r="I43" s="48">
        <f t="shared" si="5"/>
        <v>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f t="shared" si="6"/>
        <v>0</v>
      </c>
      <c r="W43" s="23">
        <f t="shared" si="7"/>
        <v>0</v>
      </c>
      <c r="X43" s="3"/>
      <c r="Y43" s="3"/>
      <c r="Z43" s="3"/>
      <c r="AA43" s="3"/>
    </row>
    <row r="44" spans="1:27" ht="15.75">
      <c r="A44" s="23">
        <v>32</v>
      </c>
      <c r="B44" s="26" t="s">
        <v>485</v>
      </c>
      <c r="C44" s="32">
        <v>130001010</v>
      </c>
      <c r="D44" s="33" t="s">
        <v>190</v>
      </c>
      <c r="E44" s="3">
        <v>51287</v>
      </c>
      <c r="F44" s="23">
        <v>1.27</v>
      </c>
      <c r="G44" s="48">
        <f t="shared" si="4"/>
        <v>65134.49</v>
      </c>
      <c r="H44" s="154">
        <v>65134.49</v>
      </c>
      <c r="I44" s="48">
        <f>G44-H44</f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f t="shared" si="6"/>
        <v>0</v>
      </c>
      <c r="W44" s="23">
        <f t="shared" si="7"/>
        <v>0</v>
      </c>
      <c r="X44" s="3"/>
      <c r="Y44" s="3"/>
      <c r="Z44" s="3"/>
      <c r="AA44" s="3"/>
    </row>
    <row r="45" spans="1:27" ht="15.75">
      <c r="A45" s="23">
        <v>33</v>
      </c>
      <c r="B45" s="30" t="s">
        <v>486</v>
      </c>
      <c r="C45" s="32">
        <v>130001010</v>
      </c>
      <c r="D45" s="33" t="s">
        <v>191</v>
      </c>
      <c r="E45" s="3">
        <v>47750</v>
      </c>
      <c r="F45" s="23">
        <v>1.27</v>
      </c>
      <c r="G45" s="48">
        <f t="shared" si="4"/>
        <v>60642.5</v>
      </c>
      <c r="H45" s="154">
        <v>60642.5</v>
      </c>
      <c r="I45" s="48">
        <f t="shared" si="5"/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f t="shared" si="6"/>
        <v>0</v>
      </c>
      <c r="W45" s="23">
        <f t="shared" si="7"/>
        <v>0</v>
      </c>
      <c r="X45" s="3"/>
      <c r="Y45" s="3"/>
      <c r="Z45" s="3"/>
      <c r="AA45" s="3"/>
    </row>
    <row r="46" spans="1:27" ht="15.75">
      <c r="A46" s="23">
        <v>34</v>
      </c>
      <c r="B46" s="29" t="s">
        <v>487</v>
      </c>
      <c r="C46" s="32">
        <v>130001010</v>
      </c>
      <c r="D46" s="33" t="s">
        <v>192</v>
      </c>
      <c r="E46" s="3">
        <v>108658</v>
      </c>
      <c r="F46" s="23">
        <v>1.27</v>
      </c>
      <c r="G46" s="48">
        <f t="shared" si="4"/>
        <v>137995.66</v>
      </c>
      <c r="H46" s="154">
        <v>137995.66</v>
      </c>
      <c r="I46" s="48">
        <f t="shared" si="5"/>
        <v>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f t="shared" si="6"/>
        <v>0</v>
      </c>
      <c r="W46" s="23">
        <f t="shared" si="7"/>
        <v>0</v>
      </c>
      <c r="X46" s="3"/>
      <c r="Y46" s="3"/>
      <c r="Z46" s="3"/>
      <c r="AA46" s="3"/>
    </row>
    <row r="47" spans="1:27" ht="15.75">
      <c r="A47" s="23">
        <v>35</v>
      </c>
      <c r="B47" s="26" t="s">
        <v>488</v>
      </c>
      <c r="C47" s="32">
        <v>130001010</v>
      </c>
      <c r="D47" s="33" t="s">
        <v>193</v>
      </c>
      <c r="E47" s="3">
        <v>108658</v>
      </c>
      <c r="F47" s="23">
        <v>1.27</v>
      </c>
      <c r="G47" s="48">
        <f t="shared" si="4"/>
        <v>137995.66</v>
      </c>
      <c r="H47" s="154">
        <v>137995.66</v>
      </c>
      <c r="I47" s="48">
        <f t="shared" si="5"/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f t="shared" si="6"/>
        <v>0</v>
      </c>
      <c r="W47" s="23">
        <f t="shared" si="7"/>
        <v>0</v>
      </c>
      <c r="X47" s="3"/>
      <c r="Y47" s="3"/>
      <c r="Z47" s="3"/>
      <c r="AA47" s="3"/>
    </row>
    <row r="48" spans="1:27" ht="15.75">
      <c r="A48" s="23">
        <v>36</v>
      </c>
      <c r="B48" s="26" t="s">
        <v>489</v>
      </c>
      <c r="C48" s="32">
        <v>130001010</v>
      </c>
      <c r="D48" s="33" t="s">
        <v>194</v>
      </c>
      <c r="E48" s="3">
        <v>54604</v>
      </c>
      <c r="F48" s="23">
        <v>1.27</v>
      </c>
      <c r="G48" s="48">
        <f t="shared" si="4"/>
        <v>69347.08</v>
      </c>
      <c r="H48" s="154">
        <v>69347.08</v>
      </c>
      <c r="I48" s="48">
        <f t="shared" si="5"/>
        <v>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f t="shared" si="6"/>
        <v>0</v>
      </c>
      <c r="W48" s="23">
        <f t="shared" si="7"/>
        <v>0</v>
      </c>
      <c r="X48" s="3"/>
      <c r="Y48" s="3"/>
      <c r="Z48" s="3"/>
      <c r="AA48" s="3"/>
    </row>
    <row r="49" spans="1:27" ht="15.75">
      <c r="A49" s="23">
        <v>37</v>
      </c>
      <c r="B49" s="30" t="s">
        <v>490</v>
      </c>
      <c r="C49" s="32">
        <v>130001010</v>
      </c>
      <c r="D49" s="33" t="s">
        <v>195</v>
      </c>
      <c r="E49" s="3">
        <v>54604</v>
      </c>
      <c r="F49" s="23">
        <v>1.27</v>
      </c>
      <c r="G49" s="48">
        <f t="shared" si="4"/>
        <v>69347.08</v>
      </c>
      <c r="H49" s="154">
        <v>69347.08</v>
      </c>
      <c r="I49" s="48">
        <f t="shared" si="5"/>
        <v>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f t="shared" si="6"/>
        <v>0</v>
      </c>
      <c r="W49" s="23">
        <f t="shared" si="7"/>
        <v>0</v>
      </c>
      <c r="X49" s="3"/>
      <c r="Y49" s="3"/>
      <c r="Z49" s="3"/>
      <c r="AA49" s="3"/>
    </row>
    <row r="50" spans="1:27" ht="15.75">
      <c r="A50" s="23">
        <v>38</v>
      </c>
      <c r="B50" s="30" t="s">
        <v>491</v>
      </c>
      <c r="C50" s="32">
        <v>130001010</v>
      </c>
      <c r="D50" s="33" t="s">
        <v>196</v>
      </c>
      <c r="E50" s="3">
        <v>54604</v>
      </c>
      <c r="F50" s="23">
        <v>1.27</v>
      </c>
      <c r="G50" s="48">
        <f t="shared" si="4"/>
        <v>69347.08</v>
      </c>
      <c r="H50" s="154">
        <v>69347.08</v>
      </c>
      <c r="I50" s="48">
        <f t="shared" si="5"/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f t="shared" si="6"/>
        <v>0</v>
      </c>
      <c r="W50" s="23">
        <f t="shared" si="7"/>
        <v>0</v>
      </c>
      <c r="X50" s="3"/>
      <c r="Y50" s="3"/>
      <c r="Z50" s="3"/>
      <c r="AA50" s="3"/>
    </row>
    <row r="51" spans="1:27" ht="15.75">
      <c r="A51" s="23">
        <v>39</v>
      </c>
      <c r="B51" s="26" t="s">
        <v>492</v>
      </c>
      <c r="C51" s="32">
        <v>130001010</v>
      </c>
      <c r="D51" s="33" t="s">
        <v>197</v>
      </c>
      <c r="E51" s="3">
        <v>51287</v>
      </c>
      <c r="F51" s="23">
        <v>1.27</v>
      </c>
      <c r="G51" s="48">
        <f t="shared" si="4"/>
        <v>65134.49</v>
      </c>
      <c r="H51" s="154">
        <v>65134.49</v>
      </c>
      <c r="I51" s="48">
        <f t="shared" si="5"/>
        <v>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>
        <f t="shared" si="6"/>
        <v>0</v>
      </c>
      <c r="W51" s="23">
        <f t="shared" si="7"/>
        <v>0</v>
      </c>
      <c r="X51" s="3"/>
      <c r="Y51" s="3"/>
      <c r="Z51" s="3"/>
      <c r="AA51" s="3"/>
    </row>
    <row r="52" spans="1:27" ht="15.75">
      <c r="A52" s="23">
        <v>40</v>
      </c>
      <c r="B52" s="30" t="s">
        <v>45</v>
      </c>
      <c r="C52" s="32">
        <v>130001010</v>
      </c>
      <c r="D52" s="33" t="s">
        <v>198</v>
      </c>
      <c r="E52" s="3">
        <v>51048</v>
      </c>
      <c r="F52" s="23">
        <v>1.27</v>
      </c>
      <c r="G52" s="48">
        <f t="shared" si="4"/>
        <v>64830.96</v>
      </c>
      <c r="H52" s="154">
        <v>64830.96</v>
      </c>
      <c r="I52" s="48">
        <f t="shared" si="5"/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f t="shared" si="6"/>
        <v>0</v>
      </c>
      <c r="W52" s="23">
        <f t="shared" si="7"/>
        <v>0</v>
      </c>
      <c r="X52" s="3"/>
      <c r="Y52" s="3"/>
      <c r="Z52" s="3"/>
      <c r="AA52" s="3"/>
    </row>
    <row r="53" spans="1:27" ht="15.75">
      <c r="A53" s="23">
        <v>41</v>
      </c>
      <c r="B53" s="26" t="s">
        <v>46</v>
      </c>
      <c r="C53" s="32">
        <v>130001010</v>
      </c>
      <c r="D53" s="33" t="s">
        <v>199</v>
      </c>
      <c r="E53" s="3">
        <v>51048</v>
      </c>
      <c r="F53" s="23">
        <v>1.27</v>
      </c>
      <c r="G53" s="48">
        <f t="shared" si="4"/>
        <v>64830.96</v>
      </c>
      <c r="H53" s="154">
        <v>64830.96</v>
      </c>
      <c r="I53" s="48">
        <f t="shared" si="5"/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f t="shared" si="6"/>
        <v>0</v>
      </c>
      <c r="W53" s="23">
        <f t="shared" si="7"/>
        <v>0</v>
      </c>
      <c r="X53" s="3"/>
      <c r="Y53" s="3"/>
      <c r="Z53" s="3"/>
      <c r="AA53" s="3"/>
    </row>
    <row r="54" spans="1:27" ht="15.75">
      <c r="A54" s="23">
        <v>42</v>
      </c>
      <c r="B54" s="30" t="s">
        <v>47</v>
      </c>
      <c r="C54" s="32">
        <v>130001010</v>
      </c>
      <c r="D54" s="33" t="s">
        <v>200</v>
      </c>
      <c r="E54" s="3">
        <v>51048</v>
      </c>
      <c r="F54" s="23">
        <v>1.27</v>
      </c>
      <c r="G54" s="48">
        <f t="shared" si="4"/>
        <v>64830.96</v>
      </c>
      <c r="H54" s="154">
        <v>64830.96</v>
      </c>
      <c r="I54" s="48">
        <f t="shared" si="5"/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f t="shared" si="6"/>
        <v>0</v>
      </c>
      <c r="W54" s="23">
        <f t="shared" si="7"/>
        <v>0</v>
      </c>
      <c r="X54" s="3"/>
      <c r="Y54" s="3"/>
      <c r="Z54" s="3"/>
      <c r="AA54" s="3"/>
    </row>
    <row r="55" spans="1:27" ht="15.75">
      <c r="A55" s="23">
        <v>43</v>
      </c>
      <c r="B55" s="26" t="s">
        <v>48</v>
      </c>
      <c r="C55" s="32">
        <v>130001010</v>
      </c>
      <c r="D55" s="33" t="s">
        <v>201</v>
      </c>
      <c r="E55" s="3">
        <v>38042</v>
      </c>
      <c r="F55" s="23">
        <v>1.27</v>
      </c>
      <c r="G55" s="48">
        <f t="shared" si="4"/>
        <v>48313.340000000004</v>
      </c>
      <c r="H55" s="154">
        <v>48313.34</v>
      </c>
      <c r="I55" s="48">
        <f t="shared" si="5"/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3"/>
      <c r="Y55" s="3"/>
      <c r="Z55" s="3"/>
      <c r="AA55" s="3"/>
    </row>
    <row r="56" spans="1:27" ht="15.75">
      <c r="A56" s="23">
        <v>44</v>
      </c>
      <c r="B56" s="30" t="s">
        <v>49</v>
      </c>
      <c r="C56" s="32">
        <v>130001010</v>
      </c>
      <c r="D56" s="33" t="s">
        <v>202</v>
      </c>
      <c r="E56" s="3">
        <v>54829</v>
      </c>
      <c r="F56" s="23">
        <v>1.27</v>
      </c>
      <c r="G56" s="48">
        <f t="shared" si="4"/>
        <v>69632.83</v>
      </c>
      <c r="H56" s="154">
        <v>69632.83</v>
      </c>
      <c r="I56" s="48">
        <f t="shared" si="5"/>
        <v>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f t="shared" si="6"/>
        <v>0</v>
      </c>
      <c r="W56" s="23">
        <f t="shared" si="7"/>
        <v>0</v>
      </c>
      <c r="X56" s="3"/>
      <c r="Y56" s="3"/>
      <c r="Z56" s="3"/>
      <c r="AA56" s="3"/>
    </row>
    <row r="57" spans="1:27" ht="15.75">
      <c r="A57" s="23">
        <v>45</v>
      </c>
      <c r="B57" s="26" t="s">
        <v>50</v>
      </c>
      <c r="C57" s="32">
        <v>130001010</v>
      </c>
      <c r="D57" s="33" t="s">
        <v>203</v>
      </c>
      <c r="E57" s="3">
        <v>51048</v>
      </c>
      <c r="F57" s="23">
        <v>1.27</v>
      </c>
      <c r="G57" s="48">
        <f t="shared" si="4"/>
        <v>64830.96</v>
      </c>
      <c r="H57" s="154">
        <v>64830.96</v>
      </c>
      <c r="I57" s="48">
        <f t="shared" si="5"/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f t="shared" si="6"/>
        <v>0</v>
      </c>
      <c r="W57" s="23">
        <f t="shared" si="7"/>
        <v>0</v>
      </c>
      <c r="X57" s="3"/>
      <c r="Y57" s="3"/>
      <c r="Z57" s="3"/>
      <c r="AA57" s="3"/>
    </row>
    <row r="58" spans="1:27" ht="15.75">
      <c r="A58" s="23">
        <v>46</v>
      </c>
      <c r="B58" s="30" t="s">
        <v>51</v>
      </c>
      <c r="C58" s="32">
        <v>130001010</v>
      </c>
      <c r="D58" s="33" t="s">
        <v>204</v>
      </c>
      <c r="E58" s="3">
        <v>71649</v>
      </c>
      <c r="F58" s="23">
        <v>1.27</v>
      </c>
      <c r="G58" s="48">
        <f t="shared" si="4"/>
        <v>90994.23</v>
      </c>
      <c r="H58" s="154">
        <f>69155.23+7284+7284+7271</f>
        <v>90994.23</v>
      </c>
      <c r="I58" s="48">
        <f t="shared" si="5"/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f t="shared" si="6"/>
        <v>0</v>
      </c>
      <c r="W58" s="23">
        <f t="shared" si="7"/>
        <v>0</v>
      </c>
      <c r="X58" s="3"/>
      <c r="Y58" s="3"/>
      <c r="Z58" s="3"/>
      <c r="AA58" s="3"/>
    </row>
    <row r="59" spans="1:27" ht="15.75">
      <c r="A59" s="23">
        <v>47</v>
      </c>
      <c r="B59" s="26" t="s">
        <v>54</v>
      </c>
      <c r="C59" s="32">
        <v>130001010</v>
      </c>
      <c r="D59" s="33" t="s">
        <v>205</v>
      </c>
      <c r="E59" s="3">
        <v>51048</v>
      </c>
      <c r="F59" s="23">
        <v>1.27</v>
      </c>
      <c r="G59" s="48">
        <f t="shared" si="4"/>
        <v>64830.96</v>
      </c>
      <c r="H59" s="154">
        <v>64830.96</v>
      </c>
      <c r="I59" s="48">
        <f t="shared" si="5"/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f t="shared" si="6"/>
        <v>0</v>
      </c>
      <c r="W59" s="23">
        <f t="shared" si="7"/>
        <v>0</v>
      </c>
      <c r="X59" s="3"/>
      <c r="Y59" s="3"/>
      <c r="Z59" s="3"/>
      <c r="AA59" s="3"/>
    </row>
    <row r="60" spans="1:27" ht="15.75">
      <c r="A60" s="23">
        <v>48</v>
      </c>
      <c r="B60" s="30" t="s">
        <v>53</v>
      </c>
      <c r="C60" s="32">
        <v>130001010</v>
      </c>
      <c r="D60" s="33" t="s">
        <v>206</v>
      </c>
      <c r="E60" s="3">
        <v>47263</v>
      </c>
      <c r="F60" s="23">
        <v>1.27</v>
      </c>
      <c r="G60" s="48">
        <f t="shared" si="4"/>
        <v>60024.01</v>
      </c>
      <c r="H60" s="154">
        <v>60024.01</v>
      </c>
      <c r="I60" s="48">
        <f t="shared" si="5"/>
        <v>0</v>
      </c>
      <c r="J60" s="23">
        <v>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f t="shared" si="6"/>
        <v>0</v>
      </c>
      <c r="W60" s="23">
        <f t="shared" si="7"/>
        <v>0</v>
      </c>
      <c r="X60" s="3"/>
      <c r="Y60" s="3"/>
      <c r="Z60" s="3"/>
      <c r="AA60" s="3"/>
    </row>
    <row r="61" spans="1:27" ht="15.75">
      <c r="A61" s="23">
        <v>49</v>
      </c>
      <c r="B61" s="29" t="s">
        <v>330</v>
      </c>
      <c r="C61" s="32">
        <v>130001010</v>
      </c>
      <c r="D61" s="33" t="s">
        <v>207</v>
      </c>
      <c r="E61" s="3">
        <v>87267</v>
      </c>
      <c r="F61" s="23">
        <v>1.27</v>
      </c>
      <c r="G61" s="48">
        <f t="shared" si="4"/>
        <v>110829.09</v>
      </c>
      <c r="H61" s="154">
        <v>110829.09</v>
      </c>
      <c r="I61" s="48">
        <f t="shared" si="5"/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f t="shared" si="6"/>
        <v>0</v>
      </c>
      <c r="W61" s="23">
        <f t="shared" si="7"/>
        <v>0</v>
      </c>
      <c r="X61" s="3"/>
      <c r="Y61" s="3"/>
      <c r="Z61" s="3"/>
      <c r="AA61" s="3"/>
    </row>
    <row r="62" spans="1:27" ht="15.75">
      <c r="A62" s="23">
        <v>50</v>
      </c>
      <c r="B62" s="29" t="s">
        <v>55</v>
      </c>
      <c r="C62" s="32">
        <v>130001010</v>
      </c>
      <c r="D62" s="33" t="s">
        <v>208</v>
      </c>
      <c r="E62" s="3">
        <v>79081</v>
      </c>
      <c r="F62" s="23">
        <v>1.27</v>
      </c>
      <c r="G62" s="48">
        <f t="shared" si="4"/>
        <v>100432.87</v>
      </c>
      <c r="H62" s="154">
        <v>100432.87</v>
      </c>
      <c r="I62" s="48">
        <f t="shared" si="5"/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f t="shared" si="6"/>
        <v>0</v>
      </c>
      <c r="W62" s="23">
        <f t="shared" si="7"/>
        <v>0</v>
      </c>
      <c r="X62" s="3"/>
      <c r="Y62" s="3"/>
      <c r="Z62" s="3"/>
      <c r="AA62" s="3"/>
    </row>
    <row r="63" spans="1:27" ht="15.75">
      <c r="A63" s="23">
        <v>51</v>
      </c>
      <c r="B63" s="30" t="s">
        <v>56</v>
      </c>
      <c r="C63" s="32">
        <v>130001010</v>
      </c>
      <c r="D63" s="33" t="s">
        <v>209</v>
      </c>
      <c r="E63" s="3">
        <v>79081</v>
      </c>
      <c r="F63" s="23">
        <v>1.27</v>
      </c>
      <c r="G63" s="48">
        <f t="shared" si="4"/>
        <v>100432.87</v>
      </c>
      <c r="H63" s="154">
        <v>100432.87</v>
      </c>
      <c r="I63" s="48">
        <f t="shared" si="5"/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f t="shared" si="6"/>
        <v>0</v>
      </c>
      <c r="W63" s="23">
        <f t="shared" si="7"/>
        <v>0</v>
      </c>
      <c r="X63" s="3"/>
      <c r="Y63" s="3"/>
      <c r="Z63" s="3"/>
      <c r="AA63" s="3"/>
    </row>
    <row r="64" spans="1:27" ht="15.75">
      <c r="A64" s="23">
        <v>52</v>
      </c>
      <c r="B64" s="29" t="s">
        <v>57</v>
      </c>
      <c r="C64" s="32">
        <v>130001010</v>
      </c>
      <c r="D64" s="33" t="s">
        <v>210</v>
      </c>
      <c r="E64" s="3">
        <v>79081</v>
      </c>
      <c r="F64" s="23">
        <v>1.27</v>
      </c>
      <c r="G64" s="48">
        <f aca="true" t="shared" si="8" ref="G64:G90">E64*F64</f>
        <v>100432.87</v>
      </c>
      <c r="H64" s="154">
        <v>100432.87</v>
      </c>
      <c r="I64" s="48">
        <f aca="true" t="shared" si="9" ref="I64:I90">G64-H64</f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f aca="true" t="shared" si="10" ref="V64:V90">SUM(J64:U64)</f>
        <v>0</v>
      </c>
      <c r="W64" s="23">
        <f aca="true" t="shared" si="11" ref="W64:W90">I64-V64</f>
        <v>0</v>
      </c>
      <c r="X64" s="3"/>
      <c r="Y64" s="3"/>
      <c r="Z64" s="3"/>
      <c r="AA64" s="3"/>
    </row>
    <row r="65" spans="1:27" ht="15.75">
      <c r="A65" s="23">
        <v>53</v>
      </c>
      <c r="B65" s="26" t="s">
        <v>58</v>
      </c>
      <c r="C65" s="32">
        <v>130001010</v>
      </c>
      <c r="D65" s="33" t="s">
        <v>211</v>
      </c>
      <c r="E65" s="3">
        <v>79081</v>
      </c>
      <c r="F65" s="23">
        <v>1.27</v>
      </c>
      <c r="G65" s="48">
        <f t="shared" si="8"/>
        <v>100432.87</v>
      </c>
      <c r="H65" s="154">
        <v>100432.87</v>
      </c>
      <c r="I65" s="48">
        <f t="shared" si="9"/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f t="shared" si="10"/>
        <v>0</v>
      </c>
      <c r="W65" s="23">
        <f t="shared" si="11"/>
        <v>0</v>
      </c>
      <c r="X65" s="3"/>
      <c r="Y65" s="3"/>
      <c r="Z65" s="3"/>
      <c r="AA65" s="3"/>
    </row>
    <row r="66" spans="1:27" ht="15.75">
      <c r="A66" s="23">
        <v>54</v>
      </c>
      <c r="B66" s="30" t="s">
        <v>59</v>
      </c>
      <c r="C66" s="32">
        <v>130001010</v>
      </c>
      <c r="D66" s="33" t="s">
        <v>212</v>
      </c>
      <c r="E66" s="3">
        <v>79081</v>
      </c>
      <c r="F66" s="23">
        <v>1.27</v>
      </c>
      <c r="G66" s="48">
        <f t="shared" si="8"/>
        <v>100432.87</v>
      </c>
      <c r="H66" s="154">
        <v>100432.87</v>
      </c>
      <c r="I66" s="48">
        <f t="shared" si="9"/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f t="shared" si="10"/>
        <v>0</v>
      </c>
      <c r="W66" s="23">
        <f t="shared" si="11"/>
        <v>0</v>
      </c>
      <c r="X66" s="3"/>
      <c r="Y66" s="3"/>
      <c r="Z66" s="3"/>
      <c r="AA66" s="3"/>
    </row>
    <row r="67" spans="1:27" ht="15.75">
      <c r="A67" s="23">
        <v>55</v>
      </c>
      <c r="B67" s="26" t="s">
        <v>60</v>
      </c>
      <c r="C67" s="32">
        <v>130001010</v>
      </c>
      <c r="D67" s="33" t="s">
        <v>213</v>
      </c>
      <c r="E67" s="3">
        <v>79081</v>
      </c>
      <c r="F67" s="23">
        <v>1.27</v>
      </c>
      <c r="G67" s="48">
        <f t="shared" si="8"/>
        <v>100432.87</v>
      </c>
      <c r="H67" s="154">
        <v>100432.87</v>
      </c>
      <c r="I67" s="48">
        <f t="shared" si="9"/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f t="shared" si="10"/>
        <v>0</v>
      </c>
      <c r="W67" s="23">
        <f t="shared" si="11"/>
        <v>0</v>
      </c>
      <c r="X67" s="3"/>
      <c r="Y67" s="3"/>
      <c r="Z67" s="3"/>
      <c r="AA67" s="3"/>
    </row>
    <row r="68" spans="1:27" ht="15.75">
      <c r="A68" s="23">
        <v>56</v>
      </c>
      <c r="B68" s="30" t="s">
        <v>61</v>
      </c>
      <c r="C68" s="32">
        <v>130001010</v>
      </c>
      <c r="D68" s="33" t="s">
        <v>214</v>
      </c>
      <c r="E68" s="3">
        <v>51048</v>
      </c>
      <c r="F68" s="23">
        <v>1.27</v>
      </c>
      <c r="G68" s="48">
        <f t="shared" si="8"/>
        <v>64830.96</v>
      </c>
      <c r="H68" s="154">
        <v>64830.96</v>
      </c>
      <c r="I68" s="48">
        <f t="shared" si="9"/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f t="shared" si="10"/>
        <v>0</v>
      </c>
      <c r="W68" s="23">
        <f t="shared" si="11"/>
        <v>0</v>
      </c>
      <c r="X68" s="3"/>
      <c r="Y68" s="3"/>
      <c r="Z68" s="3"/>
      <c r="AA68" s="3"/>
    </row>
    <row r="69" spans="1:27" ht="15.75">
      <c r="A69" s="23">
        <v>57</v>
      </c>
      <c r="B69" s="29" t="s">
        <v>62</v>
      </c>
      <c r="C69" s="32">
        <v>130001010</v>
      </c>
      <c r="D69" s="33" t="s">
        <v>215</v>
      </c>
      <c r="E69" s="3">
        <v>61377</v>
      </c>
      <c r="F69" s="23">
        <v>1.27</v>
      </c>
      <c r="G69" s="48">
        <f t="shared" si="8"/>
        <v>77948.79000000001</v>
      </c>
      <c r="H69" s="154">
        <v>77948.79</v>
      </c>
      <c r="I69" s="48">
        <f t="shared" si="9"/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f t="shared" si="10"/>
        <v>0</v>
      </c>
      <c r="W69" s="23">
        <v>0</v>
      </c>
      <c r="X69" s="3"/>
      <c r="Y69" s="3"/>
      <c r="Z69" s="3"/>
      <c r="AA69" s="3"/>
    </row>
    <row r="70" spans="1:27" ht="15.75">
      <c r="A70" s="23">
        <v>58</v>
      </c>
      <c r="B70" s="26" t="s">
        <v>63</v>
      </c>
      <c r="C70" s="32">
        <v>130001010</v>
      </c>
      <c r="D70" s="33" t="s">
        <v>216</v>
      </c>
      <c r="E70" s="3">
        <v>49693</v>
      </c>
      <c r="F70" s="23">
        <v>1.27</v>
      </c>
      <c r="G70" s="48">
        <f t="shared" si="8"/>
        <v>63110.11</v>
      </c>
      <c r="H70" s="154">
        <v>63110.11</v>
      </c>
      <c r="I70" s="48">
        <f t="shared" si="9"/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f t="shared" si="10"/>
        <v>0</v>
      </c>
      <c r="W70" s="23">
        <f t="shared" si="11"/>
        <v>0</v>
      </c>
      <c r="X70" s="3"/>
      <c r="Y70" s="3"/>
      <c r="Z70" s="3"/>
      <c r="AA70" s="3"/>
    </row>
    <row r="71" spans="1:27" ht="15.75">
      <c r="A71" s="23">
        <v>59</v>
      </c>
      <c r="B71" s="29" t="s">
        <v>65</v>
      </c>
      <c r="C71" s="32">
        <v>130001010</v>
      </c>
      <c r="D71" s="33" t="s">
        <v>217</v>
      </c>
      <c r="E71" s="3">
        <v>51630</v>
      </c>
      <c r="F71" s="23">
        <v>1.27</v>
      </c>
      <c r="G71" s="48">
        <f t="shared" si="8"/>
        <v>65570.1</v>
      </c>
      <c r="H71" s="154">
        <v>65570.1</v>
      </c>
      <c r="I71" s="48">
        <f t="shared" si="9"/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f t="shared" si="10"/>
        <v>0</v>
      </c>
      <c r="W71" s="23">
        <f t="shared" si="11"/>
        <v>0</v>
      </c>
      <c r="X71" s="3"/>
      <c r="Y71" s="3"/>
      <c r="Z71" s="3"/>
      <c r="AA71" s="3"/>
    </row>
    <row r="72" spans="1:27" ht="15.75">
      <c r="A72" s="23">
        <v>60</v>
      </c>
      <c r="B72" s="30" t="s">
        <v>67</v>
      </c>
      <c r="C72" s="32">
        <v>130001010</v>
      </c>
      <c r="D72" s="33" t="s">
        <v>218</v>
      </c>
      <c r="E72" s="3">
        <v>36576</v>
      </c>
      <c r="F72" s="23">
        <v>1.27</v>
      </c>
      <c r="G72" s="48">
        <f t="shared" si="8"/>
        <v>46451.520000000004</v>
      </c>
      <c r="H72" s="154">
        <f>38372.52+4044+4035</f>
        <v>46451.52</v>
      </c>
      <c r="I72" s="48">
        <f t="shared" si="9"/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f t="shared" si="10"/>
        <v>0</v>
      </c>
      <c r="W72" s="23">
        <v>0</v>
      </c>
      <c r="X72" s="3"/>
      <c r="Y72" s="3"/>
      <c r="Z72" s="3"/>
      <c r="AA72" s="3"/>
    </row>
    <row r="73" spans="1:27" ht="15.75">
      <c r="A73" s="23">
        <v>61</v>
      </c>
      <c r="B73" s="26" t="s">
        <v>68</v>
      </c>
      <c r="C73" s="32">
        <v>130001010</v>
      </c>
      <c r="D73" s="33" t="s">
        <v>219</v>
      </c>
      <c r="E73" s="3">
        <v>70009</v>
      </c>
      <c r="F73" s="23">
        <v>1.27</v>
      </c>
      <c r="G73" s="48">
        <f t="shared" si="8"/>
        <v>88911.43000000001</v>
      </c>
      <c r="H73" s="154">
        <f>67572.43+7116+7116+7107</f>
        <v>88911.43</v>
      </c>
      <c r="I73" s="48">
        <f t="shared" si="9"/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f t="shared" si="10"/>
        <v>0</v>
      </c>
      <c r="W73" s="23">
        <v>0</v>
      </c>
      <c r="X73" s="3"/>
      <c r="Y73" s="3"/>
      <c r="Z73" s="3"/>
      <c r="AA73" s="3"/>
    </row>
    <row r="74" spans="1:27" ht="18" customHeight="1">
      <c r="A74" s="23">
        <v>62</v>
      </c>
      <c r="B74" s="30" t="s">
        <v>69</v>
      </c>
      <c r="C74" s="32">
        <v>130001010</v>
      </c>
      <c r="D74" s="33" t="s">
        <v>220</v>
      </c>
      <c r="E74" s="3">
        <v>76413</v>
      </c>
      <c r="F74" s="23">
        <v>1.27</v>
      </c>
      <c r="G74" s="48">
        <f t="shared" si="8"/>
        <v>97044.51</v>
      </c>
      <c r="H74" s="154">
        <f>73753.51+7764+7764+7763</f>
        <v>97044.51</v>
      </c>
      <c r="I74" s="48">
        <f t="shared" si="9"/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f t="shared" si="10"/>
        <v>0</v>
      </c>
      <c r="W74" s="23">
        <f t="shared" si="11"/>
        <v>0</v>
      </c>
      <c r="X74" s="3"/>
      <c r="Y74" s="3"/>
      <c r="Z74" s="3"/>
      <c r="AA74" s="3"/>
    </row>
    <row r="75" spans="1:23" ht="18.75" customHeight="1">
      <c r="A75" s="17">
        <v>63</v>
      </c>
      <c r="B75" s="26" t="s">
        <v>70</v>
      </c>
      <c r="C75" s="32">
        <v>130001010</v>
      </c>
      <c r="D75" s="33" t="s">
        <v>221</v>
      </c>
      <c r="E75" s="3">
        <v>73157</v>
      </c>
      <c r="F75" s="23">
        <v>1.27</v>
      </c>
      <c r="G75" s="48">
        <f t="shared" si="8"/>
        <v>92909.39</v>
      </c>
      <c r="H75" s="154">
        <f>76751.39+8076+8082</f>
        <v>92909.39</v>
      </c>
      <c r="I75" s="48">
        <f t="shared" si="9"/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f t="shared" si="10"/>
        <v>0</v>
      </c>
      <c r="W75" s="23">
        <f t="shared" si="11"/>
        <v>0</v>
      </c>
    </row>
    <row r="76" spans="1:23" ht="17.25" customHeight="1">
      <c r="A76" s="17">
        <v>64</v>
      </c>
      <c r="B76" s="26" t="s">
        <v>71</v>
      </c>
      <c r="C76" s="32">
        <v>130001010</v>
      </c>
      <c r="D76" s="33" t="s">
        <v>222</v>
      </c>
      <c r="E76" s="3">
        <v>78336</v>
      </c>
      <c r="F76" s="23">
        <v>1.27</v>
      </c>
      <c r="G76" s="48">
        <f t="shared" si="8"/>
        <v>99486.72</v>
      </c>
      <c r="H76" s="154">
        <v>99486.72</v>
      </c>
      <c r="I76" s="48">
        <f t="shared" si="9"/>
        <v>0</v>
      </c>
      <c r="J76" s="23">
        <v>0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>
        <f t="shared" si="10"/>
        <v>0</v>
      </c>
      <c r="W76" s="23">
        <f t="shared" si="11"/>
        <v>0</v>
      </c>
    </row>
    <row r="77" spans="1:23" ht="17.25" customHeight="1">
      <c r="A77" s="17">
        <v>65</v>
      </c>
      <c r="B77" s="30" t="s">
        <v>72</v>
      </c>
      <c r="C77" s="32">
        <v>130001010</v>
      </c>
      <c r="D77" s="33" t="s">
        <v>223</v>
      </c>
      <c r="E77" s="3">
        <v>60843</v>
      </c>
      <c r="F77" s="23">
        <v>1.27</v>
      </c>
      <c r="G77" s="48">
        <f t="shared" si="8"/>
        <v>77270.61</v>
      </c>
      <c r="H77" s="154">
        <f>63832.61+6720+6718</f>
        <v>77270.61</v>
      </c>
      <c r="I77" s="48">
        <f t="shared" si="9"/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f t="shared" si="10"/>
        <v>0</v>
      </c>
      <c r="W77" s="23">
        <f t="shared" si="11"/>
        <v>0</v>
      </c>
    </row>
    <row r="78" spans="1:23" ht="18.75" customHeight="1">
      <c r="A78" s="17">
        <v>66</v>
      </c>
      <c r="B78" s="26" t="s">
        <v>73</v>
      </c>
      <c r="C78" s="32">
        <v>130001010</v>
      </c>
      <c r="D78" s="33" t="s">
        <v>224</v>
      </c>
      <c r="E78" s="3">
        <v>93812</v>
      </c>
      <c r="F78" s="23">
        <v>1.27</v>
      </c>
      <c r="G78" s="48">
        <f t="shared" si="8"/>
        <v>119141.24</v>
      </c>
      <c r="H78" s="154">
        <f>92403.24+8916+8916+8906</f>
        <v>119141.24</v>
      </c>
      <c r="I78" s="48">
        <f t="shared" si="9"/>
        <v>0</v>
      </c>
      <c r="J78" s="23">
        <v>0</v>
      </c>
      <c r="K78" s="23"/>
      <c r="L78" s="23"/>
      <c r="M78" s="23"/>
      <c r="N78" s="23"/>
      <c r="O78" s="23"/>
      <c r="P78" s="23"/>
      <c r="Q78" s="23"/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f t="shared" si="11"/>
        <v>0</v>
      </c>
    </row>
    <row r="79" spans="1:23" ht="17.25" customHeight="1">
      <c r="A79" s="17">
        <v>67</v>
      </c>
      <c r="B79" s="30" t="s">
        <v>74</v>
      </c>
      <c r="C79" s="32">
        <v>130001010</v>
      </c>
      <c r="D79" s="33" t="s">
        <v>225</v>
      </c>
      <c r="E79" s="3">
        <v>55200</v>
      </c>
      <c r="F79" s="23">
        <v>1.27</v>
      </c>
      <c r="G79" s="48">
        <f t="shared" si="8"/>
        <v>70104</v>
      </c>
      <c r="H79" s="154">
        <f>62725+7379+0</f>
        <v>70104</v>
      </c>
      <c r="I79" s="48">
        <f t="shared" si="9"/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f t="shared" si="10"/>
        <v>0</v>
      </c>
      <c r="W79" s="23">
        <f t="shared" si="11"/>
        <v>0</v>
      </c>
    </row>
    <row r="80" spans="1:23" ht="18" customHeight="1">
      <c r="A80" s="17">
        <v>68</v>
      </c>
      <c r="B80" s="30" t="s">
        <v>76</v>
      </c>
      <c r="C80" s="32">
        <v>130001010</v>
      </c>
      <c r="D80" s="33" t="s">
        <v>226</v>
      </c>
      <c r="E80" s="3">
        <v>72375</v>
      </c>
      <c r="F80" s="23">
        <v>1.27</v>
      </c>
      <c r="G80" s="48">
        <f t="shared" si="8"/>
        <v>91916.25</v>
      </c>
      <c r="H80" s="154">
        <v>91916.25</v>
      </c>
      <c r="I80" s="48">
        <f t="shared" si="9"/>
        <v>0</v>
      </c>
      <c r="J80" s="23">
        <v>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>
        <f t="shared" si="10"/>
        <v>0</v>
      </c>
      <c r="W80" s="23">
        <f t="shared" si="11"/>
        <v>0</v>
      </c>
    </row>
    <row r="81" spans="1:23" ht="19.5" customHeight="1">
      <c r="A81" s="17">
        <v>69</v>
      </c>
      <c r="B81" s="26" t="s">
        <v>77</v>
      </c>
      <c r="C81" s="32">
        <v>130001010</v>
      </c>
      <c r="D81" s="33" t="s">
        <v>227</v>
      </c>
      <c r="E81" s="3">
        <v>72826</v>
      </c>
      <c r="F81" s="23">
        <v>1.27</v>
      </c>
      <c r="G81" s="48">
        <f t="shared" si="8"/>
        <v>92489.02</v>
      </c>
      <c r="H81" s="154">
        <f>70292.02+7404+7404+7389</f>
        <v>92489.02</v>
      </c>
      <c r="I81" s="48">
        <f t="shared" si="9"/>
        <v>0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>
        <f t="shared" si="10"/>
        <v>0</v>
      </c>
      <c r="W81" s="23">
        <f t="shared" si="11"/>
        <v>0</v>
      </c>
    </row>
    <row r="82" spans="1:23" ht="19.5" customHeight="1">
      <c r="A82" s="17">
        <v>70</v>
      </c>
      <c r="B82" s="30" t="s">
        <v>78</v>
      </c>
      <c r="C82" s="32">
        <v>130001010</v>
      </c>
      <c r="D82" s="33" t="s">
        <v>228</v>
      </c>
      <c r="E82" s="3">
        <v>55200</v>
      </c>
      <c r="F82" s="23">
        <v>1.27</v>
      </c>
      <c r="G82" s="48">
        <f t="shared" si="8"/>
        <v>70104</v>
      </c>
      <c r="H82" s="154">
        <f>70104</f>
        <v>70104</v>
      </c>
      <c r="I82" s="48">
        <f t="shared" si="9"/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f t="shared" si="10"/>
        <v>0</v>
      </c>
      <c r="W82" s="23">
        <f t="shared" si="11"/>
        <v>0</v>
      </c>
    </row>
    <row r="83" spans="1:23" ht="15.75">
      <c r="A83" s="17">
        <v>71</v>
      </c>
      <c r="B83" s="26" t="s">
        <v>79</v>
      </c>
      <c r="C83" s="32">
        <v>130001010</v>
      </c>
      <c r="D83" s="33" t="s">
        <v>229</v>
      </c>
      <c r="E83" s="3">
        <v>55357</v>
      </c>
      <c r="F83" s="23">
        <v>1.27</v>
      </c>
      <c r="G83" s="48">
        <f t="shared" si="8"/>
        <v>70303.39</v>
      </c>
      <c r="H83" s="154">
        <f>53430.39+5628+5628+5617</f>
        <v>70303.39</v>
      </c>
      <c r="I83" s="48">
        <f t="shared" si="9"/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f t="shared" si="10"/>
        <v>0</v>
      </c>
      <c r="W83" s="23">
        <f t="shared" si="11"/>
        <v>0</v>
      </c>
    </row>
    <row r="84" spans="1:23" ht="15.75">
      <c r="A84" s="17">
        <v>72</v>
      </c>
      <c r="B84" s="30" t="s">
        <v>80</v>
      </c>
      <c r="C84" s="32">
        <v>130001010</v>
      </c>
      <c r="D84" s="33" t="s">
        <v>230</v>
      </c>
      <c r="E84" s="3">
        <v>59785</v>
      </c>
      <c r="F84" s="23">
        <v>1.27</v>
      </c>
      <c r="G84" s="48">
        <f t="shared" si="8"/>
        <v>75926.95</v>
      </c>
      <c r="H84" s="154">
        <v>75926.95</v>
      </c>
      <c r="I84" s="48">
        <f t="shared" si="9"/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f t="shared" si="10"/>
        <v>0</v>
      </c>
      <c r="W84" s="23">
        <f t="shared" si="11"/>
        <v>0</v>
      </c>
    </row>
    <row r="85" spans="1:23" ht="15.75">
      <c r="A85" s="17">
        <v>73</v>
      </c>
      <c r="B85" s="26" t="s">
        <v>81</v>
      </c>
      <c r="C85" s="32">
        <v>130001010</v>
      </c>
      <c r="D85" s="33" t="s">
        <v>232</v>
      </c>
      <c r="E85" s="3">
        <v>62559</v>
      </c>
      <c r="F85" s="23">
        <v>1.27</v>
      </c>
      <c r="G85" s="48">
        <f t="shared" si="8"/>
        <v>79449.93000000001</v>
      </c>
      <c r="H85" s="154">
        <v>79449.93</v>
      </c>
      <c r="I85" s="48">
        <f t="shared" si="9"/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f t="shared" si="10"/>
        <v>0</v>
      </c>
      <c r="W85" s="23">
        <v>0</v>
      </c>
    </row>
    <row r="86" spans="1:23" ht="15.75">
      <c r="A86" s="17">
        <v>74</v>
      </c>
      <c r="B86" s="30" t="s">
        <v>82</v>
      </c>
      <c r="C86" s="32">
        <v>130001010</v>
      </c>
      <c r="D86" s="33" t="s">
        <v>231</v>
      </c>
      <c r="E86" s="3">
        <v>71018</v>
      </c>
      <c r="F86" s="23">
        <v>1.27</v>
      </c>
      <c r="G86" s="48">
        <f t="shared" si="8"/>
        <v>90192.86</v>
      </c>
      <c r="H86" s="154">
        <v>90192.86</v>
      </c>
      <c r="I86" s="48">
        <f t="shared" si="9"/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f t="shared" si="10"/>
        <v>0</v>
      </c>
      <c r="W86" s="23">
        <f t="shared" si="11"/>
        <v>0</v>
      </c>
    </row>
    <row r="87" spans="1:23" ht="15.75">
      <c r="A87" s="17">
        <v>75</v>
      </c>
      <c r="B87" s="29" t="s">
        <v>83</v>
      </c>
      <c r="C87" s="32">
        <v>130001010</v>
      </c>
      <c r="D87" s="33" t="s">
        <v>233</v>
      </c>
      <c r="E87" s="3">
        <v>77798</v>
      </c>
      <c r="F87" s="23">
        <v>1.27</v>
      </c>
      <c r="G87" s="48">
        <f t="shared" si="8"/>
        <v>98803.46</v>
      </c>
      <c r="H87" s="154">
        <f>75090.46+7908+7908+7897</f>
        <v>98803.46</v>
      </c>
      <c r="I87" s="48">
        <f t="shared" si="9"/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f t="shared" si="10"/>
        <v>0</v>
      </c>
      <c r="W87" s="23">
        <f t="shared" si="11"/>
        <v>0</v>
      </c>
    </row>
    <row r="88" spans="1:23" ht="15.75">
      <c r="A88" s="17">
        <v>76</v>
      </c>
      <c r="B88" s="29" t="s">
        <v>84</v>
      </c>
      <c r="C88" s="32">
        <v>130001010</v>
      </c>
      <c r="D88" s="33" t="s">
        <v>234</v>
      </c>
      <c r="E88" s="3">
        <v>63913</v>
      </c>
      <c r="F88" s="23">
        <v>1.27</v>
      </c>
      <c r="G88" s="48">
        <f t="shared" si="8"/>
        <v>81169.51</v>
      </c>
      <c r="H88" s="154">
        <v>81169.51</v>
      </c>
      <c r="I88" s="48">
        <f t="shared" si="9"/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f t="shared" si="10"/>
        <v>0</v>
      </c>
      <c r="W88" s="23">
        <f t="shared" si="11"/>
        <v>0</v>
      </c>
    </row>
    <row r="89" spans="1:23" ht="15.75">
      <c r="A89" s="17">
        <v>77</v>
      </c>
      <c r="B89" s="26" t="s">
        <v>85</v>
      </c>
      <c r="C89" s="32">
        <v>130001010</v>
      </c>
      <c r="D89" s="33" t="s">
        <v>235</v>
      </c>
      <c r="E89" s="3">
        <v>71929</v>
      </c>
      <c r="F89" s="23">
        <v>1.27</v>
      </c>
      <c r="G89" s="48">
        <f t="shared" si="8"/>
        <v>91349.83</v>
      </c>
      <c r="H89" s="154">
        <v>91349.83</v>
      </c>
      <c r="I89" s="48">
        <f t="shared" si="9"/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f t="shared" si="10"/>
        <v>0</v>
      </c>
      <c r="W89" s="23">
        <f t="shared" si="11"/>
        <v>0</v>
      </c>
    </row>
    <row r="90" spans="1:23" ht="15.75">
      <c r="A90" s="17">
        <v>78</v>
      </c>
      <c r="B90" s="30" t="s">
        <v>86</v>
      </c>
      <c r="C90" s="32">
        <v>130001010</v>
      </c>
      <c r="D90" s="33" t="s">
        <v>236</v>
      </c>
      <c r="E90" s="3">
        <v>61931</v>
      </c>
      <c r="F90" s="23">
        <v>1.27</v>
      </c>
      <c r="G90" s="48">
        <f t="shared" si="8"/>
        <v>78652.37</v>
      </c>
      <c r="H90" s="154">
        <f>64973.37+6840+6839</f>
        <v>78652.37</v>
      </c>
      <c r="I90" s="48">
        <f t="shared" si="9"/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f t="shared" si="10"/>
        <v>0</v>
      </c>
      <c r="W90" s="23">
        <f t="shared" si="11"/>
        <v>0</v>
      </c>
    </row>
    <row r="91" spans="1:23" ht="15.75">
      <c r="A91" s="17">
        <v>79</v>
      </c>
      <c r="B91" s="26" t="s">
        <v>87</v>
      </c>
      <c r="C91" s="32">
        <v>130001010</v>
      </c>
      <c r="D91" s="33" t="s">
        <v>237</v>
      </c>
      <c r="E91" s="3">
        <v>74223</v>
      </c>
      <c r="F91" s="23">
        <v>1.27</v>
      </c>
      <c r="G91" s="48">
        <f aca="true" t="shared" si="12" ref="G91:G118">E91*F91</f>
        <v>94263.21</v>
      </c>
      <c r="H91" s="154">
        <v>94263.21</v>
      </c>
      <c r="I91" s="48">
        <f aca="true" t="shared" si="13" ref="I91:I118">G91-H91</f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f aca="true" t="shared" si="14" ref="V91:V118">SUM(J91:U91)</f>
        <v>0</v>
      </c>
      <c r="W91" s="23">
        <f aca="true" t="shared" si="15" ref="W91:W118">I91-V91</f>
        <v>0</v>
      </c>
    </row>
    <row r="92" spans="1:23" ht="15.75">
      <c r="A92" s="17">
        <v>80</v>
      </c>
      <c r="B92" s="30" t="s">
        <v>88</v>
      </c>
      <c r="C92" s="32">
        <v>130001010</v>
      </c>
      <c r="D92" s="33" t="s">
        <v>238</v>
      </c>
      <c r="E92" s="3">
        <v>75674</v>
      </c>
      <c r="F92" s="23">
        <v>1.27</v>
      </c>
      <c r="G92" s="48">
        <f t="shared" si="12"/>
        <v>96105.98</v>
      </c>
      <c r="H92" s="154">
        <v>96105.98</v>
      </c>
      <c r="I92" s="48">
        <f t="shared" si="13"/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f t="shared" si="14"/>
        <v>0</v>
      </c>
      <c r="W92" s="23">
        <f t="shared" si="15"/>
        <v>0</v>
      </c>
    </row>
    <row r="93" spans="1:23" ht="15.75">
      <c r="A93" s="17">
        <v>81</v>
      </c>
      <c r="B93" s="30" t="s">
        <v>90</v>
      </c>
      <c r="C93" s="32">
        <v>130001010</v>
      </c>
      <c r="D93" s="33" t="s">
        <v>239</v>
      </c>
      <c r="E93" s="3">
        <v>60328</v>
      </c>
      <c r="F93" s="23">
        <v>1.27</v>
      </c>
      <c r="G93" s="48">
        <f t="shared" si="12"/>
        <v>76616.56</v>
      </c>
      <c r="H93" s="154">
        <v>76616.56</v>
      </c>
      <c r="I93" s="48">
        <f t="shared" si="13"/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f t="shared" si="14"/>
        <v>0</v>
      </c>
      <c r="W93" s="23">
        <f t="shared" si="15"/>
        <v>0</v>
      </c>
    </row>
    <row r="94" spans="1:23" ht="15.75">
      <c r="A94" s="17">
        <v>82</v>
      </c>
      <c r="B94" s="30" t="s">
        <v>92</v>
      </c>
      <c r="C94" s="32">
        <v>130001010</v>
      </c>
      <c r="D94" s="33" t="s">
        <v>240</v>
      </c>
      <c r="E94" s="3">
        <v>68725</v>
      </c>
      <c r="F94" s="23">
        <v>1.27</v>
      </c>
      <c r="G94" s="48">
        <f t="shared" si="12"/>
        <v>87280.75</v>
      </c>
      <c r="H94" s="154">
        <f>66333.75+6984+6984+6979</f>
        <v>87280.75</v>
      </c>
      <c r="I94" s="48">
        <f t="shared" si="13"/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f t="shared" si="14"/>
        <v>0</v>
      </c>
      <c r="W94" s="23">
        <f t="shared" si="15"/>
        <v>0</v>
      </c>
    </row>
    <row r="95" spans="1:23" ht="15.75">
      <c r="A95" s="17">
        <v>83</v>
      </c>
      <c r="B95" s="26" t="s">
        <v>114</v>
      </c>
      <c r="C95" s="32">
        <v>130001010</v>
      </c>
      <c r="D95" s="33" t="s">
        <v>241</v>
      </c>
      <c r="E95" s="3">
        <v>74223</v>
      </c>
      <c r="F95" s="23">
        <v>1.27</v>
      </c>
      <c r="G95" s="48">
        <f t="shared" si="12"/>
        <v>94263.21</v>
      </c>
      <c r="H95" s="154">
        <v>94263.21</v>
      </c>
      <c r="I95" s="48">
        <f t="shared" si="13"/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f t="shared" si="14"/>
        <v>0</v>
      </c>
      <c r="W95" s="23">
        <f t="shared" si="15"/>
        <v>0</v>
      </c>
    </row>
    <row r="96" spans="1:23" ht="15.75">
      <c r="A96" s="17">
        <v>84</v>
      </c>
      <c r="B96" s="30" t="s">
        <v>93</v>
      </c>
      <c r="C96" s="32">
        <v>130001010</v>
      </c>
      <c r="D96" s="33" t="s">
        <v>242</v>
      </c>
      <c r="E96" s="3">
        <v>65633</v>
      </c>
      <c r="F96" s="23">
        <v>1.27</v>
      </c>
      <c r="G96" s="48">
        <f t="shared" si="12"/>
        <v>83353.91</v>
      </c>
      <c r="H96" s="154">
        <v>83353.91</v>
      </c>
      <c r="I96" s="48">
        <f t="shared" si="13"/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f t="shared" si="14"/>
        <v>0</v>
      </c>
      <c r="W96" s="23">
        <f t="shared" si="15"/>
        <v>0</v>
      </c>
    </row>
    <row r="97" spans="1:23" ht="15.75">
      <c r="A97" s="17">
        <v>85</v>
      </c>
      <c r="B97" s="29" t="s">
        <v>94</v>
      </c>
      <c r="C97" s="32">
        <v>130001010</v>
      </c>
      <c r="D97" s="33" t="s">
        <v>243</v>
      </c>
      <c r="E97" s="3">
        <v>78012</v>
      </c>
      <c r="F97" s="23">
        <v>1.27</v>
      </c>
      <c r="G97" s="48">
        <f t="shared" si="12"/>
        <v>99075.24</v>
      </c>
      <c r="H97" s="154">
        <v>99075.24</v>
      </c>
      <c r="I97" s="48">
        <f t="shared" si="13"/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f t="shared" si="15"/>
        <v>0</v>
      </c>
    </row>
    <row r="98" spans="1:23" ht="15.75">
      <c r="A98" s="17">
        <v>86</v>
      </c>
      <c r="B98" s="30" t="s">
        <v>95</v>
      </c>
      <c r="C98" s="32">
        <v>130001010</v>
      </c>
      <c r="D98" s="33" t="s">
        <v>244</v>
      </c>
      <c r="E98" s="3">
        <v>82353</v>
      </c>
      <c r="F98" s="23">
        <v>1.27</v>
      </c>
      <c r="G98" s="48">
        <f t="shared" si="12"/>
        <v>104588.31</v>
      </c>
      <c r="H98" s="154">
        <v>104588.31</v>
      </c>
      <c r="I98" s="48">
        <f t="shared" si="13"/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f t="shared" si="14"/>
        <v>0</v>
      </c>
      <c r="W98" s="23">
        <f t="shared" si="15"/>
        <v>0</v>
      </c>
    </row>
    <row r="99" spans="1:23" ht="15.75">
      <c r="A99" s="17">
        <v>87</v>
      </c>
      <c r="B99" s="26" t="s">
        <v>96</v>
      </c>
      <c r="C99" s="32">
        <v>130001010</v>
      </c>
      <c r="D99" s="33" t="s">
        <v>245</v>
      </c>
      <c r="E99" s="3">
        <v>77194</v>
      </c>
      <c r="F99" s="23">
        <v>1.27</v>
      </c>
      <c r="G99" s="48">
        <f t="shared" si="12"/>
        <v>98036.38</v>
      </c>
      <c r="H99" s="154">
        <f>74507.38+7848+7848+7833</f>
        <v>98036.38</v>
      </c>
      <c r="I99" s="48">
        <f t="shared" si="13"/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f t="shared" si="14"/>
        <v>0</v>
      </c>
      <c r="W99" s="23">
        <f t="shared" si="15"/>
        <v>0</v>
      </c>
    </row>
    <row r="100" spans="1:23" ht="15.75">
      <c r="A100" s="17">
        <v>88</v>
      </c>
      <c r="B100" s="29" t="s">
        <v>98</v>
      </c>
      <c r="C100" s="32">
        <v>130001010</v>
      </c>
      <c r="D100" s="33" t="s">
        <v>246</v>
      </c>
      <c r="E100" s="3">
        <v>48657</v>
      </c>
      <c r="F100" s="23">
        <v>1.27</v>
      </c>
      <c r="G100" s="48">
        <f t="shared" si="12"/>
        <v>61794.39</v>
      </c>
      <c r="H100" s="154">
        <f>55909.39+5885+0</f>
        <v>61794.39</v>
      </c>
      <c r="I100" s="48">
        <f t="shared" si="13"/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f t="shared" si="14"/>
        <v>0</v>
      </c>
      <c r="W100" s="23">
        <f t="shared" si="15"/>
        <v>0</v>
      </c>
    </row>
    <row r="101" spans="1:23" ht="15.75">
      <c r="A101" s="17">
        <v>89</v>
      </c>
      <c r="B101" s="26" t="s">
        <v>514</v>
      </c>
      <c r="C101" s="32">
        <v>130001010</v>
      </c>
      <c r="D101" s="33" t="s">
        <v>247</v>
      </c>
      <c r="E101" s="3">
        <v>46100</v>
      </c>
      <c r="F101" s="23">
        <v>1.27</v>
      </c>
      <c r="G101" s="48">
        <f t="shared" si="12"/>
        <v>58547</v>
      </c>
      <c r="H101" s="154">
        <f>58547</f>
        <v>58547</v>
      </c>
      <c r="I101" s="48">
        <f t="shared" si="13"/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f t="shared" si="14"/>
        <v>0</v>
      </c>
      <c r="W101" s="23">
        <f t="shared" si="15"/>
        <v>0</v>
      </c>
    </row>
    <row r="102" spans="1:23" ht="15.75">
      <c r="A102" s="17">
        <v>90</v>
      </c>
      <c r="B102" s="30" t="s">
        <v>515</v>
      </c>
      <c r="C102" s="32">
        <v>130001010</v>
      </c>
      <c r="D102" s="33" t="s">
        <v>248</v>
      </c>
      <c r="E102" s="3">
        <v>44477</v>
      </c>
      <c r="F102" s="23">
        <v>1.27</v>
      </c>
      <c r="G102" s="48">
        <f t="shared" si="12"/>
        <v>56485.79</v>
      </c>
      <c r="H102" s="154">
        <v>56485.79</v>
      </c>
      <c r="I102" s="48">
        <f t="shared" si="13"/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f t="shared" si="14"/>
        <v>0</v>
      </c>
      <c r="W102" s="23">
        <f t="shared" si="15"/>
        <v>0</v>
      </c>
    </row>
    <row r="103" spans="1:23" ht="15.75">
      <c r="A103" s="17">
        <v>91</v>
      </c>
      <c r="B103" s="26" t="s">
        <v>99</v>
      </c>
      <c r="C103" s="32">
        <v>130001010</v>
      </c>
      <c r="D103" s="33" t="s">
        <v>249</v>
      </c>
      <c r="E103" s="3">
        <v>708935</v>
      </c>
      <c r="F103" s="23">
        <v>1.27</v>
      </c>
      <c r="G103" s="48">
        <f t="shared" si="12"/>
        <v>900347.4500000001</v>
      </c>
      <c r="H103" s="154">
        <v>682922.46</v>
      </c>
      <c r="I103" s="48">
        <f t="shared" si="13"/>
        <v>217424.9900000001</v>
      </c>
      <c r="J103" s="23">
        <v>1500</v>
      </c>
      <c r="K103" s="23">
        <v>1500</v>
      </c>
      <c r="L103" s="23">
        <v>1500</v>
      </c>
      <c r="M103" s="23">
        <v>1500</v>
      </c>
      <c r="N103" s="23">
        <v>1500</v>
      </c>
      <c r="O103" s="23">
        <v>1501</v>
      </c>
      <c r="P103" s="23">
        <v>1501</v>
      </c>
      <c r="Q103" s="23">
        <v>1501</v>
      </c>
      <c r="R103" s="23">
        <v>1501</v>
      </c>
      <c r="S103" s="23">
        <v>1501</v>
      </c>
      <c r="T103" s="23">
        <v>1501</v>
      </c>
      <c r="U103" s="23">
        <v>1501</v>
      </c>
      <c r="V103" s="23">
        <f t="shared" si="14"/>
        <v>18007</v>
      </c>
      <c r="W103" s="23">
        <f t="shared" si="15"/>
        <v>199417.9900000001</v>
      </c>
    </row>
    <row r="104" spans="1:23" ht="15.75">
      <c r="A104" s="17">
        <v>92</v>
      </c>
      <c r="B104" s="30" t="s">
        <v>100</v>
      </c>
      <c r="C104" s="32">
        <v>130001010</v>
      </c>
      <c r="D104" s="33" t="s">
        <v>250</v>
      </c>
      <c r="E104" s="3">
        <v>507711</v>
      </c>
      <c r="F104" s="23">
        <v>1.27</v>
      </c>
      <c r="G104" s="48">
        <f t="shared" si="12"/>
        <v>644792.97</v>
      </c>
      <c r="H104" s="154">
        <v>590592.97</v>
      </c>
      <c r="I104" s="48">
        <f t="shared" si="13"/>
        <v>54200</v>
      </c>
      <c r="J104" s="23">
        <v>1075</v>
      </c>
      <c r="K104" s="23">
        <v>1075</v>
      </c>
      <c r="L104" s="23">
        <v>1075</v>
      </c>
      <c r="M104" s="23">
        <v>1075</v>
      </c>
      <c r="N104" s="23">
        <v>1075</v>
      </c>
      <c r="O104" s="23">
        <v>1075</v>
      </c>
      <c r="P104" s="23">
        <v>1075</v>
      </c>
      <c r="Q104" s="23">
        <v>1075</v>
      </c>
      <c r="R104" s="23">
        <v>1074</v>
      </c>
      <c r="S104" s="23">
        <v>1074</v>
      </c>
      <c r="T104" s="23">
        <v>1074</v>
      </c>
      <c r="U104" s="23">
        <v>1074</v>
      </c>
      <c r="V104" s="23">
        <f t="shared" si="14"/>
        <v>12896</v>
      </c>
      <c r="W104" s="23">
        <f t="shared" si="15"/>
        <v>41304</v>
      </c>
    </row>
    <row r="105" spans="1:23" ht="15.75">
      <c r="A105" s="17">
        <v>93</v>
      </c>
      <c r="B105" s="26" t="s">
        <v>101</v>
      </c>
      <c r="C105" s="32">
        <v>130001010</v>
      </c>
      <c r="D105" s="33" t="s">
        <v>251</v>
      </c>
      <c r="E105" s="3">
        <v>478887</v>
      </c>
      <c r="F105" s="23">
        <v>1.27</v>
      </c>
      <c r="G105" s="48">
        <f t="shared" si="12"/>
        <v>608186.49</v>
      </c>
      <c r="H105" s="154">
        <v>579784.49</v>
      </c>
      <c r="I105" s="48">
        <f t="shared" si="13"/>
        <v>28402</v>
      </c>
      <c r="J105" s="23">
        <v>1014</v>
      </c>
      <c r="K105" s="23">
        <v>1014</v>
      </c>
      <c r="L105" s="23">
        <v>1014</v>
      </c>
      <c r="M105" s="23">
        <v>1014</v>
      </c>
      <c r="N105" s="23">
        <v>1014</v>
      </c>
      <c r="O105" s="23">
        <v>1014</v>
      </c>
      <c r="P105" s="23">
        <v>1014</v>
      </c>
      <c r="Q105" s="23">
        <v>1013</v>
      </c>
      <c r="R105" s="23">
        <v>1013</v>
      </c>
      <c r="S105" s="23">
        <v>1013</v>
      </c>
      <c r="T105" s="23">
        <v>1013</v>
      </c>
      <c r="U105" s="23">
        <v>1013</v>
      </c>
      <c r="V105" s="23">
        <f t="shared" si="14"/>
        <v>12163</v>
      </c>
      <c r="W105" s="23">
        <f t="shared" si="15"/>
        <v>16239</v>
      </c>
    </row>
    <row r="106" spans="1:23" ht="15.75">
      <c r="A106" s="17">
        <v>94</v>
      </c>
      <c r="B106" s="30" t="s">
        <v>102</v>
      </c>
      <c r="C106" s="32">
        <v>130001010</v>
      </c>
      <c r="D106" s="33" t="s">
        <v>252</v>
      </c>
      <c r="E106" s="3">
        <v>79584</v>
      </c>
      <c r="F106" s="23">
        <v>1.27</v>
      </c>
      <c r="G106" s="48">
        <f t="shared" si="12"/>
        <v>101071.68000000001</v>
      </c>
      <c r="H106" s="154">
        <v>101071.68</v>
      </c>
      <c r="I106" s="48">
        <f t="shared" si="13"/>
        <v>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>
        <f t="shared" si="14"/>
        <v>0</v>
      </c>
      <c r="W106" s="23">
        <f t="shared" si="15"/>
        <v>0</v>
      </c>
    </row>
    <row r="107" spans="1:23" ht="15.75">
      <c r="A107" s="17">
        <v>95</v>
      </c>
      <c r="B107" s="26" t="s">
        <v>103</v>
      </c>
      <c r="C107" s="32">
        <v>130001010</v>
      </c>
      <c r="D107" s="33" t="s">
        <v>253</v>
      </c>
      <c r="E107" s="3">
        <v>79584</v>
      </c>
      <c r="F107" s="23">
        <v>1.27</v>
      </c>
      <c r="G107" s="48">
        <f t="shared" si="12"/>
        <v>101071.68000000001</v>
      </c>
      <c r="H107" s="154">
        <v>101071.68</v>
      </c>
      <c r="I107" s="48">
        <f t="shared" si="13"/>
        <v>0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>
        <f t="shared" si="14"/>
        <v>0</v>
      </c>
      <c r="W107" s="23">
        <f t="shared" si="15"/>
        <v>0</v>
      </c>
    </row>
    <row r="108" spans="1:23" ht="15.75">
      <c r="A108" s="17">
        <v>96</v>
      </c>
      <c r="B108" s="30" t="s">
        <v>104</v>
      </c>
      <c r="C108" s="32">
        <v>130001010</v>
      </c>
      <c r="D108" s="33" t="s">
        <v>254</v>
      </c>
      <c r="E108" s="3">
        <v>35673</v>
      </c>
      <c r="F108" s="23">
        <v>1.27</v>
      </c>
      <c r="G108" s="48">
        <f t="shared" si="12"/>
        <v>45304.71</v>
      </c>
      <c r="H108" s="154">
        <v>45304.71</v>
      </c>
      <c r="I108" s="48">
        <f t="shared" si="13"/>
        <v>0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>
        <f t="shared" si="14"/>
        <v>0</v>
      </c>
      <c r="W108" s="23">
        <f t="shared" si="15"/>
        <v>0</v>
      </c>
    </row>
    <row r="109" spans="1:23" ht="15.75">
      <c r="A109" s="17">
        <v>97</v>
      </c>
      <c r="B109" s="26" t="s">
        <v>105</v>
      </c>
      <c r="C109" s="32">
        <v>130001010</v>
      </c>
      <c r="D109" s="33" t="s">
        <v>255</v>
      </c>
      <c r="E109" s="3">
        <v>37206</v>
      </c>
      <c r="F109" s="23">
        <v>1.27</v>
      </c>
      <c r="G109" s="48">
        <f t="shared" si="12"/>
        <v>47251.62</v>
      </c>
      <c r="H109" s="154">
        <v>47251.62</v>
      </c>
      <c r="I109" s="48">
        <f t="shared" si="13"/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f t="shared" si="14"/>
        <v>0</v>
      </c>
      <c r="W109" s="23">
        <f t="shared" si="15"/>
        <v>0</v>
      </c>
    </row>
    <row r="110" spans="1:23" ht="15.75">
      <c r="A110" s="17">
        <v>98</v>
      </c>
      <c r="B110" s="30" t="s">
        <v>106</v>
      </c>
      <c r="C110" s="32">
        <v>130001010</v>
      </c>
      <c r="D110" s="33" t="s">
        <v>256</v>
      </c>
      <c r="E110" s="3">
        <v>35673</v>
      </c>
      <c r="F110" s="23">
        <v>1.27</v>
      </c>
      <c r="G110" s="48">
        <f t="shared" si="12"/>
        <v>45304.71</v>
      </c>
      <c r="H110" s="154">
        <v>45304.71</v>
      </c>
      <c r="I110" s="48">
        <f t="shared" si="13"/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f t="shared" si="14"/>
        <v>0</v>
      </c>
      <c r="W110" s="23">
        <f t="shared" si="15"/>
        <v>0</v>
      </c>
    </row>
    <row r="111" spans="1:23" ht="15.75">
      <c r="A111" s="17">
        <v>99</v>
      </c>
      <c r="B111" s="26" t="s">
        <v>107</v>
      </c>
      <c r="C111" s="32">
        <v>130001010</v>
      </c>
      <c r="D111" s="33" t="s">
        <v>257</v>
      </c>
      <c r="E111" s="3">
        <v>415413</v>
      </c>
      <c r="F111" s="23">
        <v>1.27</v>
      </c>
      <c r="G111" s="48">
        <f t="shared" si="12"/>
        <v>527574.51</v>
      </c>
      <c r="H111" s="154">
        <v>448630.51</v>
      </c>
      <c r="I111" s="48">
        <f t="shared" si="13"/>
        <v>78944</v>
      </c>
      <c r="J111" s="23">
        <v>880</v>
      </c>
      <c r="K111" s="23">
        <v>880</v>
      </c>
      <c r="L111" s="23">
        <v>880</v>
      </c>
      <c r="M111" s="23">
        <v>879</v>
      </c>
      <c r="N111" s="23">
        <v>879</v>
      </c>
      <c r="O111" s="23">
        <v>879</v>
      </c>
      <c r="P111" s="23">
        <v>879</v>
      </c>
      <c r="Q111" s="23">
        <v>879</v>
      </c>
      <c r="R111" s="23">
        <v>879</v>
      </c>
      <c r="S111" s="23">
        <v>879</v>
      </c>
      <c r="T111" s="23">
        <v>879</v>
      </c>
      <c r="U111" s="23">
        <v>879</v>
      </c>
      <c r="V111" s="23">
        <f t="shared" si="14"/>
        <v>10551</v>
      </c>
      <c r="W111" s="23">
        <f t="shared" si="15"/>
        <v>68393</v>
      </c>
    </row>
    <row r="112" spans="1:23" ht="15.75">
      <c r="A112" s="17">
        <v>100</v>
      </c>
      <c r="B112" s="30" t="s">
        <v>108</v>
      </c>
      <c r="C112" s="32">
        <v>130001010</v>
      </c>
      <c r="D112" s="33" t="s">
        <v>258</v>
      </c>
      <c r="E112" s="3">
        <v>349116</v>
      </c>
      <c r="F112" s="23">
        <v>1.27</v>
      </c>
      <c r="G112" s="48">
        <f t="shared" si="12"/>
        <v>443377.32</v>
      </c>
      <c r="H112" s="154">
        <v>414150.32</v>
      </c>
      <c r="I112" s="48">
        <f t="shared" si="13"/>
        <v>29227</v>
      </c>
      <c r="J112" s="23">
        <v>739</v>
      </c>
      <c r="K112" s="23">
        <v>739</v>
      </c>
      <c r="L112" s="23">
        <v>739</v>
      </c>
      <c r="M112" s="23">
        <v>739</v>
      </c>
      <c r="N112" s="23">
        <v>739</v>
      </c>
      <c r="O112" s="23">
        <v>739</v>
      </c>
      <c r="P112" s="23">
        <v>739</v>
      </c>
      <c r="Q112" s="23">
        <v>739</v>
      </c>
      <c r="R112" s="23">
        <v>739</v>
      </c>
      <c r="S112" s="23">
        <v>739</v>
      </c>
      <c r="T112" s="23">
        <v>739</v>
      </c>
      <c r="U112" s="23">
        <v>739</v>
      </c>
      <c r="V112" s="23">
        <f t="shared" si="14"/>
        <v>8868</v>
      </c>
      <c r="W112" s="23">
        <f t="shared" si="15"/>
        <v>20359</v>
      </c>
    </row>
    <row r="113" spans="1:23" ht="15.75">
      <c r="A113" s="17">
        <v>101</v>
      </c>
      <c r="B113" s="29" t="s">
        <v>109</v>
      </c>
      <c r="C113" s="32">
        <v>130001010</v>
      </c>
      <c r="D113" s="33" t="s">
        <v>259</v>
      </c>
      <c r="E113" s="3">
        <v>580128</v>
      </c>
      <c r="F113" s="23">
        <v>1.27</v>
      </c>
      <c r="G113" s="48">
        <f t="shared" si="12"/>
        <v>736762.56</v>
      </c>
      <c r="H113" s="154">
        <v>735588.56</v>
      </c>
      <c r="I113" s="48">
        <f t="shared" si="13"/>
        <v>1174</v>
      </c>
      <c r="J113" s="23">
        <v>1174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f t="shared" si="14"/>
        <v>1174</v>
      </c>
      <c r="W113" s="23">
        <f t="shared" si="15"/>
        <v>0</v>
      </c>
    </row>
    <row r="114" spans="1:23" ht="15.75">
      <c r="A114" s="17">
        <v>102</v>
      </c>
      <c r="B114" s="26" t="s">
        <v>111</v>
      </c>
      <c r="C114" s="32">
        <v>130001010</v>
      </c>
      <c r="D114" s="33" t="s">
        <v>260</v>
      </c>
      <c r="E114" s="3">
        <v>40465</v>
      </c>
      <c r="F114" s="23">
        <v>1.27</v>
      </c>
      <c r="G114" s="48">
        <f t="shared" si="12"/>
        <v>51390.55</v>
      </c>
      <c r="H114" s="154">
        <v>51390.55</v>
      </c>
      <c r="I114" s="48">
        <f t="shared" si="13"/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f t="shared" si="14"/>
        <v>0</v>
      </c>
      <c r="W114" s="23">
        <f t="shared" si="15"/>
        <v>0</v>
      </c>
    </row>
    <row r="115" spans="1:23" ht="15.75">
      <c r="A115" s="17">
        <v>103</v>
      </c>
      <c r="B115" s="30" t="s">
        <v>112</v>
      </c>
      <c r="C115" s="32">
        <v>130001010</v>
      </c>
      <c r="D115" s="33" t="s">
        <v>261</v>
      </c>
      <c r="E115" s="3">
        <v>464372</v>
      </c>
      <c r="F115" s="23">
        <v>1.27</v>
      </c>
      <c r="G115" s="48">
        <f t="shared" si="12"/>
        <v>589752.4400000001</v>
      </c>
      <c r="H115" s="154">
        <v>589752.44</v>
      </c>
      <c r="I115" s="48">
        <f t="shared" si="13"/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/>
      <c r="V115" s="23">
        <f t="shared" si="14"/>
        <v>0</v>
      </c>
      <c r="W115" s="50">
        <f>I115-V115</f>
        <v>0</v>
      </c>
    </row>
    <row r="116" spans="1:23" ht="15.75">
      <c r="A116" s="17">
        <v>104</v>
      </c>
      <c r="B116" s="26" t="s">
        <v>113</v>
      </c>
      <c r="C116" s="32">
        <v>130001010</v>
      </c>
      <c r="D116" s="33" t="s">
        <v>262</v>
      </c>
      <c r="E116" s="3">
        <v>713009</v>
      </c>
      <c r="F116" s="23">
        <v>1.27</v>
      </c>
      <c r="G116" s="48">
        <f t="shared" si="12"/>
        <v>905521.43</v>
      </c>
      <c r="H116" s="154">
        <v>905521.43</v>
      </c>
      <c r="I116" s="48">
        <f t="shared" si="13"/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/>
      <c r="V116" s="23">
        <f t="shared" si="14"/>
        <v>0</v>
      </c>
      <c r="W116" s="23">
        <f t="shared" si="15"/>
        <v>0</v>
      </c>
    </row>
    <row r="117" spans="1:23" ht="19.5" customHeight="1">
      <c r="A117" s="17">
        <v>105</v>
      </c>
      <c r="B117" s="30" t="s">
        <v>124</v>
      </c>
      <c r="C117" s="32">
        <v>130001010</v>
      </c>
      <c r="D117" s="33" t="s">
        <v>263</v>
      </c>
      <c r="E117" s="3">
        <v>23560</v>
      </c>
      <c r="F117" s="23">
        <v>1.27</v>
      </c>
      <c r="G117" s="48">
        <f t="shared" si="12"/>
        <v>29921.2</v>
      </c>
      <c r="H117" s="154">
        <v>29921.2</v>
      </c>
      <c r="I117" s="48">
        <f t="shared" si="13"/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f t="shared" si="14"/>
        <v>0</v>
      </c>
      <c r="W117" s="23">
        <f t="shared" si="15"/>
        <v>0</v>
      </c>
    </row>
    <row r="118" spans="1:23" ht="19.5" customHeight="1">
      <c r="A118" s="17">
        <v>106</v>
      </c>
      <c r="B118" s="26" t="s">
        <v>124</v>
      </c>
      <c r="C118" s="32">
        <v>130001010</v>
      </c>
      <c r="D118" s="33" t="s">
        <v>264</v>
      </c>
      <c r="E118" s="3">
        <v>23560</v>
      </c>
      <c r="F118" s="23">
        <v>1.27</v>
      </c>
      <c r="G118" s="48">
        <f t="shared" si="12"/>
        <v>29921.2</v>
      </c>
      <c r="H118" s="154">
        <v>29921.2</v>
      </c>
      <c r="I118" s="48">
        <f t="shared" si="13"/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f t="shared" si="14"/>
        <v>0</v>
      </c>
      <c r="W118" s="23">
        <f t="shared" si="15"/>
        <v>0</v>
      </c>
    </row>
    <row r="119" spans="1:23" ht="15.75">
      <c r="A119" s="17">
        <v>107</v>
      </c>
      <c r="B119" s="30" t="s">
        <v>125</v>
      </c>
      <c r="C119" s="32">
        <v>130001010</v>
      </c>
      <c r="D119" s="33" t="s">
        <v>265</v>
      </c>
      <c r="E119" s="3">
        <v>105009</v>
      </c>
      <c r="F119" s="23">
        <v>1.27</v>
      </c>
      <c r="G119" s="48">
        <f>E119*F119</f>
        <v>133361.43</v>
      </c>
      <c r="H119" s="154">
        <v>133361.43</v>
      </c>
      <c r="I119" s="48">
        <f>G119-H119</f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f>SUM(J119:U119)</f>
        <v>0</v>
      </c>
      <c r="W119" s="23">
        <f>I119-V119</f>
        <v>0</v>
      </c>
    </row>
    <row r="120" spans="1:23" ht="16.5" thickBot="1">
      <c r="A120" s="17">
        <v>108</v>
      </c>
      <c r="B120" s="26" t="s">
        <v>461</v>
      </c>
      <c r="C120" s="45">
        <v>130001010</v>
      </c>
      <c r="D120" s="46" t="s">
        <v>266</v>
      </c>
      <c r="E120" s="3">
        <v>734640</v>
      </c>
      <c r="F120" s="23">
        <v>1.27</v>
      </c>
      <c r="G120" s="48">
        <f>E120*F120</f>
        <v>932992.8</v>
      </c>
      <c r="H120" s="51">
        <v>623342.25</v>
      </c>
      <c r="I120" s="48">
        <f>G120-H120</f>
        <v>309650.55000000005</v>
      </c>
      <c r="J120" s="23">
        <v>1555</v>
      </c>
      <c r="K120" s="23">
        <v>1555</v>
      </c>
      <c r="L120" s="23">
        <v>1555</v>
      </c>
      <c r="M120" s="23">
        <v>1555</v>
      </c>
      <c r="N120" s="23">
        <v>1555</v>
      </c>
      <c r="O120" s="23">
        <v>1555</v>
      </c>
      <c r="P120" s="23">
        <v>1555</v>
      </c>
      <c r="Q120" s="23">
        <v>1555</v>
      </c>
      <c r="R120" s="23">
        <v>1555</v>
      </c>
      <c r="S120" s="23">
        <v>1555</v>
      </c>
      <c r="T120" s="23">
        <v>1555</v>
      </c>
      <c r="U120" s="23">
        <v>1555</v>
      </c>
      <c r="V120" s="23">
        <f>SUM(J120:U120)</f>
        <v>18660</v>
      </c>
      <c r="W120" s="50">
        <f>I120-V120</f>
        <v>290990.55000000005</v>
      </c>
    </row>
    <row r="121" spans="1:53" ht="16.5" thickBot="1">
      <c r="A121" s="27"/>
      <c r="B121" s="43" t="s">
        <v>154</v>
      </c>
      <c r="C121" s="47"/>
      <c r="D121" s="42"/>
      <c r="E121" s="21">
        <f>SUM(E13:E120)</f>
        <v>14401766</v>
      </c>
      <c r="F121" s="22"/>
      <c r="G121" s="52">
        <f aca="true" t="shared" si="16" ref="G121:W121">SUM(G13:G120)</f>
        <v>18290242.820000004</v>
      </c>
      <c r="H121" s="53">
        <f>SUM(H13:H120)</f>
        <v>17119346.070000008</v>
      </c>
      <c r="I121" s="53">
        <f t="shared" si="16"/>
        <v>1170896.7500000002</v>
      </c>
      <c r="J121" s="159">
        <f>SUM(J13:J120)</f>
        <v>15000</v>
      </c>
      <c r="K121" s="159">
        <f t="shared" si="16"/>
        <v>13826</v>
      </c>
      <c r="L121" s="159">
        <f t="shared" si="16"/>
        <v>13826</v>
      </c>
      <c r="M121" s="159">
        <f t="shared" si="16"/>
        <v>13825</v>
      </c>
      <c r="N121" s="159">
        <f t="shared" si="16"/>
        <v>13825</v>
      </c>
      <c r="O121" s="159">
        <f t="shared" si="16"/>
        <v>13826</v>
      </c>
      <c r="P121" s="159">
        <f t="shared" si="16"/>
        <v>13827</v>
      </c>
      <c r="Q121" s="159">
        <f t="shared" si="16"/>
        <v>13826</v>
      </c>
      <c r="R121" s="159">
        <f t="shared" si="16"/>
        <v>13825</v>
      </c>
      <c r="S121" s="159">
        <f t="shared" si="16"/>
        <v>13825</v>
      </c>
      <c r="T121" s="159">
        <f t="shared" si="16"/>
        <v>13829</v>
      </c>
      <c r="U121" s="159">
        <f t="shared" si="16"/>
        <v>13826</v>
      </c>
      <c r="V121" s="53">
        <f>SUM(V13:V120)</f>
        <v>167086</v>
      </c>
      <c r="W121" s="53">
        <f t="shared" si="16"/>
        <v>1003810.7500000002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</row>
    <row r="122" spans="1:23" ht="12.75">
      <c r="A122" s="17"/>
      <c r="B122" s="17"/>
      <c r="C122" s="2"/>
      <c r="D122" s="36"/>
      <c r="F122" s="17"/>
      <c r="G122" s="223"/>
      <c r="H122" s="224"/>
      <c r="J122" s="17"/>
      <c r="L122" s="17"/>
      <c r="N122" s="17"/>
      <c r="P122" s="17"/>
      <c r="R122" s="17"/>
      <c r="T122" s="17"/>
      <c r="V122" s="17"/>
      <c r="W122" s="17"/>
    </row>
    <row r="123" spans="1:23" ht="15.75">
      <c r="A123" s="17">
        <v>2</v>
      </c>
      <c r="B123" s="28" t="s">
        <v>128</v>
      </c>
      <c r="C123" s="37">
        <v>114528685</v>
      </c>
      <c r="D123" s="31" t="s">
        <v>152</v>
      </c>
      <c r="E123" s="3">
        <v>1572725</v>
      </c>
      <c r="F123" s="23">
        <v>1.27</v>
      </c>
      <c r="G123" s="207">
        <f>E123*F123</f>
        <v>1997360.75</v>
      </c>
      <c r="H123" s="225">
        <v>1254213.26</v>
      </c>
      <c r="I123" s="48">
        <v>670005.75</v>
      </c>
      <c r="J123" s="23">
        <v>6165</v>
      </c>
      <c r="K123" s="23">
        <v>6165</v>
      </c>
      <c r="L123" s="23">
        <v>6165</v>
      </c>
      <c r="M123" s="23">
        <v>6165</v>
      </c>
      <c r="N123" s="23">
        <v>6165</v>
      </c>
      <c r="O123" s="23">
        <v>6165</v>
      </c>
      <c r="P123" s="23">
        <v>6165</v>
      </c>
      <c r="Q123" s="23">
        <v>6165</v>
      </c>
      <c r="R123" s="23">
        <v>6165</v>
      </c>
      <c r="S123" s="23">
        <v>6165</v>
      </c>
      <c r="T123" s="23">
        <v>6165</v>
      </c>
      <c r="U123" s="23">
        <v>6165</v>
      </c>
      <c r="V123" s="23">
        <f>SUM(J123:U123)</f>
        <v>73980</v>
      </c>
      <c r="W123" s="50">
        <f>I123-V123</f>
        <v>596025.75</v>
      </c>
    </row>
    <row r="124" spans="1:23" ht="16.5" customHeight="1">
      <c r="A124" s="17">
        <v>3</v>
      </c>
      <c r="B124" s="28" t="s">
        <v>129</v>
      </c>
      <c r="C124" s="37">
        <v>114528685</v>
      </c>
      <c r="D124" s="31" t="s">
        <v>153</v>
      </c>
      <c r="E124" s="3">
        <v>20658</v>
      </c>
      <c r="F124" s="23">
        <v>1.27</v>
      </c>
      <c r="G124" s="207">
        <f>E124*F124</f>
        <v>26235.66</v>
      </c>
      <c r="H124" s="230">
        <v>26235.66</v>
      </c>
      <c r="I124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f>SUM(J124:U124)</f>
        <v>0</v>
      </c>
      <c r="W124" s="50">
        <f>I124-V124</f>
        <v>0</v>
      </c>
    </row>
    <row r="125" spans="1:23" ht="16.5" customHeight="1">
      <c r="A125" s="17">
        <v>4</v>
      </c>
      <c r="B125" s="28" t="s">
        <v>443</v>
      </c>
      <c r="C125" s="37">
        <v>110101000</v>
      </c>
      <c r="D125" s="31">
        <v>1963</v>
      </c>
      <c r="E125" s="3">
        <v>73141.74</v>
      </c>
      <c r="F125" s="23"/>
      <c r="G125" s="221">
        <v>73141.74</v>
      </c>
      <c r="H125" s="109">
        <v>73141.74</v>
      </c>
      <c r="I125">
        <v>0</v>
      </c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50"/>
    </row>
    <row r="126" spans="1:23" ht="16.5" customHeight="1">
      <c r="A126" s="17">
        <v>5</v>
      </c>
      <c r="B126" s="28" t="s">
        <v>444</v>
      </c>
      <c r="C126" s="37">
        <v>110101000</v>
      </c>
      <c r="D126" s="31">
        <v>1972</v>
      </c>
      <c r="E126" s="3">
        <v>68327.57</v>
      </c>
      <c r="F126" s="23"/>
      <c r="G126" s="221">
        <v>168327.57</v>
      </c>
      <c r="H126" s="109">
        <v>168327.57</v>
      </c>
      <c r="I126">
        <v>0</v>
      </c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50"/>
    </row>
    <row r="127" spans="1:23" ht="16.5" customHeight="1">
      <c r="A127" s="17">
        <v>6</v>
      </c>
      <c r="B127" s="28" t="s">
        <v>445</v>
      </c>
      <c r="C127" s="37">
        <v>110101000</v>
      </c>
      <c r="D127" s="31">
        <v>1953</v>
      </c>
      <c r="E127" s="3">
        <v>250993.32</v>
      </c>
      <c r="F127" s="23"/>
      <c r="G127" s="221">
        <v>177851.58</v>
      </c>
      <c r="H127" s="109">
        <v>250993.32</v>
      </c>
      <c r="I127">
        <v>0</v>
      </c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50"/>
    </row>
    <row r="128" spans="1:23" ht="16.5" customHeight="1">
      <c r="A128" s="17">
        <v>7</v>
      </c>
      <c r="B128" s="28" t="s">
        <v>459</v>
      </c>
      <c r="C128" s="37">
        <v>110101000</v>
      </c>
      <c r="D128" s="31">
        <v>1965</v>
      </c>
      <c r="E128" s="3">
        <v>11218.66</v>
      </c>
      <c r="F128" s="23"/>
      <c r="G128" s="221">
        <v>54619.18</v>
      </c>
      <c r="H128" s="109">
        <v>54619.18</v>
      </c>
      <c r="I128">
        <v>0</v>
      </c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50"/>
    </row>
    <row r="129" spans="1:23" ht="16.5" customHeight="1">
      <c r="A129" s="17">
        <v>8</v>
      </c>
      <c r="B129" s="28" t="s">
        <v>447</v>
      </c>
      <c r="C129" s="37">
        <v>110101000</v>
      </c>
      <c r="D129" s="31">
        <v>1958</v>
      </c>
      <c r="E129" s="3">
        <v>21700.26</v>
      </c>
      <c r="F129" s="23"/>
      <c r="G129" s="221">
        <v>51103.74</v>
      </c>
      <c r="H129" s="109">
        <v>51103.74</v>
      </c>
      <c r="I129">
        <v>0</v>
      </c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50"/>
    </row>
    <row r="130" spans="1:23" ht="16.5" customHeight="1">
      <c r="A130" s="17">
        <v>9</v>
      </c>
      <c r="B130" s="28" t="s">
        <v>460</v>
      </c>
      <c r="C130" s="37">
        <v>110101000</v>
      </c>
      <c r="D130" s="31">
        <v>1958</v>
      </c>
      <c r="E130" s="3">
        <v>12180.16</v>
      </c>
      <c r="F130" s="23"/>
      <c r="G130" s="221">
        <v>107180.16</v>
      </c>
      <c r="H130" s="109">
        <v>107180.16</v>
      </c>
      <c r="I130">
        <v>0</v>
      </c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50"/>
    </row>
    <row r="131" spans="1:23" ht="16.5" customHeight="1">
      <c r="A131" s="17">
        <v>10</v>
      </c>
      <c r="B131" s="28" t="s">
        <v>444</v>
      </c>
      <c r="C131" s="37">
        <v>110101000</v>
      </c>
      <c r="D131" s="31">
        <v>1972</v>
      </c>
      <c r="E131" s="3">
        <v>6717.03</v>
      </c>
      <c r="F131" s="23"/>
      <c r="G131" s="228">
        <v>116717.03</v>
      </c>
      <c r="H131" s="226">
        <v>116717.03</v>
      </c>
      <c r="I131">
        <v>0</v>
      </c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50"/>
    </row>
    <row r="132" spans="1:23" ht="16.5" customHeight="1">
      <c r="A132" s="17">
        <v>11</v>
      </c>
      <c r="B132" s="28" t="s">
        <v>450</v>
      </c>
      <c r="C132" s="37"/>
      <c r="D132" s="31"/>
      <c r="E132" s="3"/>
      <c r="F132" s="23"/>
      <c r="G132" s="228">
        <v>117280</v>
      </c>
      <c r="H132" s="226">
        <v>117280</v>
      </c>
      <c r="I132">
        <v>0</v>
      </c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50"/>
    </row>
    <row r="133" spans="1:23" ht="16.5" customHeight="1">
      <c r="A133" s="17">
        <v>12</v>
      </c>
      <c r="B133" s="28" t="s">
        <v>452</v>
      </c>
      <c r="C133" s="37"/>
      <c r="D133" s="31"/>
      <c r="E133" s="3"/>
      <c r="F133" s="23"/>
      <c r="G133" s="228">
        <v>260524</v>
      </c>
      <c r="H133" s="226">
        <v>260524</v>
      </c>
      <c r="I133">
        <v>0</v>
      </c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50"/>
    </row>
    <row r="134" spans="1:23" ht="16.5" customHeight="1">
      <c r="A134" s="17">
        <v>13</v>
      </c>
      <c r="B134" s="28" t="s">
        <v>508</v>
      </c>
      <c r="C134" s="37"/>
      <c r="D134" s="31"/>
      <c r="E134" s="3"/>
      <c r="F134" s="23"/>
      <c r="G134" s="228">
        <v>73141.74</v>
      </c>
      <c r="H134" s="226">
        <v>73141.74</v>
      </c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50"/>
    </row>
    <row r="135" spans="1:23" ht="16.5" customHeight="1">
      <c r="A135" s="17"/>
      <c r="B135" s="28"/>
      <c r="C135" s="37"/>
      <c r="D135" s="31"/>
      <c r="E135" s="3"/>
      <c r="F135" s="23"/>
      <c r="G135" s="228"/>
      <c r="H135" s="226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50"/>
    </row>
    <row r="136" spans="1:23" ht="16.5" customHeight="1">
      <c r="A136" s="17"/>
      <c r="B136" s="28"/>
      <c r="C136" s="37"/>
      <c r="D136" s="31"/>
      <c r="E136" s="3"/>
      <c r="F136" s="23"/>
      <c r="G136" s="228"/>
      <c r="H136" s="226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50"/>
    </row>
    <row r="137" spans="1:23" ht="16.5" customHeight="1" thickBot="1">
      <c r="A137" s="17"/>
      <c r="B137" s="28"/>
      <c r="C137" s="37"/>
      <c r="D137" s="31"/>
      <c r="E137" s="3"/>
      <c r="F137" s="23"/>
      <c r="G137" s="229"/>
      <c r="H137" s="227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50"/>
    </row>
    <row r="138" spans="1:50" ht="16.5" thickBot="1">
      <c r="A138" s="27"/>
      <c r="B138" s="43" t="s">
        <v>155</v>
      </c>
      <c r="C138" s="34"/>
      <c r="D138" s="35"/>
      <c r="E138" s="21">
        <f>SUM(E123:E124)</f>
        <v>1593383</v>
      </c>
      <c r="F138" s="22"/>
      <c r="G138" s="52">
        <f>G123+G124+G125+G126+G127+G128+G129+G130+G131+G132+G133+G134</f>
        <v>3223483.1500000004</v>
      </c>
      <c r="H138" s="56">
        <f>H123+H124+H125+H126+H127+H128+H129+H130+H131+H132+H133+H134</f>
        <v>2553477.4</v>
      </c>
      <c r="I138" s="153">
        <f aca="true" t="shared" si="17" ref="I138:W138">SUM(I123:I124)</f>
        <v>670005.75</v>
      </c>
      <c r="J138" s="152">
        <f t="shared" si="17"/>
        <v>6165</v>
      </c>
      <c r="K138" s="152">
        <f t="shared" si="17"/>
        <v>6165</v>
      </c>
      <c r="L138" s="152">
        <f t="shared" si="17"/>
        <v>6165</v>
      </c>
      <c r="M138" s="152">
        <f t="shared" si="17"/>
        <v>6165</v>
      </c>
      <c r="N138" s="152">
        <f t="shared" si="17"/>
        <v>6165</v>
      </c>
      <c r="O138" s="152">
        <f t="shared" si="17"/>
        <v>6165</v>
      </c>
      <c r="P138" s="152">
        <f t="shared" si="17"/>
        <v>6165</v>
      </c>
      <c r="Q138" s="152">
        <f t="shared" si="17"/>
        <v>6165</v>
      </c>
      <c r="R138" s="152">
        <f t="shared" si="17"/>
        <v>6165</v>
      </c>
      <c r="S138" s="152">
        <f t="shared" si="17"/>
        <v>6165</v>
      </c>
      <c r="T138" s="152">
        <f t="shared" si="17"/>
        <v>6165</v>
      </c>
      <c r="U138" s="152">
        <f t="shared" si="17"/>
        <v>6165</v>
      </c>
      <c r="V138" s="152">
        <f t="shared" si="17"/>
        <v>73980</v>
      </c>
      <c r="W138" s="22">
        <f t="shared" si="17"/>
        <v>596025.75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23" ht="15">
      <c r="A139" s="19"/>
      <c r="B139" s="19"/>
      <c r="C139" s="38"/>
      <c r="D139" s="39"/>
      <c r="E139" s="8"/>
      <c r="F139" s="19"/>
      <c r="G139" s="57"/>
      <c r="H139" s="58"/>
      <c r="I139" s="24"/>
      <c r="J139" s="142"/>
      <c r="K139" s="3"/>
      <c r="L139" s="23"/>
      <c r="M139" s="3"/>
      <c r="N139" s="23"/>
      <c r="O139" s="3"/>
      <c r="P139" s="23"/>
      <c r="Q139" s="24"/>
      <c r="R139" s="24"/>
      <c r="S139" s="3"/>
      <c r="T139" s="24"/>
      <c r="U139" s="141"/>
      <c r="V139" s="142"/>
      <c r="W139" s="23"/>
    </row>
    <row r="140" spans="1:23" ht="15.75">
      <c r="A140" s="17"/>
      <c r="B140" s="44" t="s">
        <v>156</v>
      </c>
      <c r="C140" s="40"/>
      <c r="D140" s="36"/>
      <c r="E140" s="20">
        <f>E121+E138</f>
        <v>15995149</v>
      </c>
      <c r="F140" s="16"/>
      <c r="G140" s="59">
        <f aca="true" t="shared" si="18" ref="G140:W140">G121+G138</f>
        <v>21513725.970000006</v>
      </c>
      <c r="H140" s="56">
        <f t="shared" si="18"/>
        <v>19672823.470000006</v>
      </c>
      <c r="I140" s="56">
        <f t="shared" si="18"/>
        <v>1840902.5000000002</v>
      </c>
      <c r="J140" s="160">
        <f t="shared" si="18"/>
        <v>21165</v>
      </c>
      <c r="K140" s="160">
        <f t="shared" si="18"/>
        <v>19991</v>
      </c>
      <c r="L140" s="160">
        <f t="shared" si="18"/>
        <v>19991</v>
      </c>
      <c r="M140" s="160">
        <f t="shared" si="18"/>
        <v>19990</v>
      </c>
      <c r="N140" s="160">
        <f t="shared" si="18"/>
        <v>19990</v>
      </c>
      <c r="O140" s="160">
        <f t="shared" si="18"/>
        <v>19991</v>
      </c>
      <c r="P140" s="160">
        <f t="shared" si="18"/>
        <v>19992</v>
      </c>
      <c r="Q140" s="160">
        <f t="shared" si="18"/>
        <v>19991</v>
      </c>
      <c r="R140" s="160">
        <f t="shared" si="18"/>
        <v>19990</v>
      </c>
      <c r="S140" s="160">
        <f t="shared" si="18"/>
        <v>19990</v>
      </c>
      <c r="T140" s="160">
        <f t="shared" si="18"/>
        <v>19994</v>
      </c>
      <c r="U140" s="160">
        <f t="shared" si="18"/>
        <v>19991</v>
      </c>
      <c r="V140" s="218">
        <f t="shared" si="18"/>
        <v>241066</v>
      </c>
      <c r="W140" s="56">
        <f t="shared" si="18"/>
        <v>1599836.5000000002</v>
      </c>
    </row>
    <row r="141" spans="1:23" ht="16.5" thickBot="1">
      <c r="A141" s="18"/>
      <c r="B141" s="18"/>
      <c r="C141" s="41"/>
      <c r="D141" s="42"/>
      <c r="E141" s="14"/>
      <c r="F141" s="18"/>
      <c r="G141" s="60"/>
      <c r="H141" s="61"/>
      <c r="I141" s="151"/>
      <c r="J141" s="25"/>
      <c r="K141" s="13"/>
      <c r="L141" s="25"/>
      <c r="M141" s="25"/>
      <c r="N141" s="144"/>
      <c r="O141" s="13"/>
      <c r="P141" s="25"/>
      <c r="Q141" s="25"/>
      <c r="R141" s="25"/>
      <c r="S141" s="144"/>
      <c r="T141" s="25"/>
      <c r="U141" s="143"/>
      <c r="V141" s="25"/>
      <c r="W141" s="25"/>
    </row>
    <row r="142" ht="15">
      <c r="B142" s="3" t="s">
        <v>267</v>
      </c>
    </row>
    <row r="144" ht="15">
      <c r="B144" s="3"/>
    </row>
    <row r="147" spans="1:23" ht="23.25">
      <c r="A147" s="3"/>
      <c r="C147" s="5" t="s">
        <v>136</v>
      </c>
      <c r="E147" s="5"/>
      <c r="F147" s="5"/>
      <c r="G147" s="5"/>
      <c r="H147" s="5"/>
      <c r="I147" s="161" t="s">
        <v>302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>
      <c r="A148" s="3"/>
      <c r="B148" s="4"/>
      <c r="C148" s="4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20.25">
      <c r="A149" s="3"/>
      <c r="B149" s="4"/>
      <c r="C149" s="4" t="s">
        <v>150</v>
      </c>
      <c r="D149" s="4"/>
      <c r="E149" s="3"/>
      <c r="F149" s="3"/>
      <c r="G149" s="3"/>
      <c r="H149" s="162" t="s">
        <v>533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>
      <c r="A150" s="3"/>
      <c r="B150" s="4"/>
      <c r="C150" s="4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>
      <c r="A151" s="3" t="s">
        <v>137</v>
      </c>
      <c r="B151" s="4"/>
      <c r="C151" s="4" t="s">
        <v>151</v>
      </c>
      <c r="D151" s="4"/>
      <c r="E151" s="4"/>
      <c r="F151" s="3"/>
      <c r="G151" s="4" t="s">
        <v>327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>
      <c r="A152" s="3" t="s">
        <v>138</v>
      </c>
      <c r="B152" s="4"/>
      <c r="C152" s="4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>
      <c r="A153" s="3" t="s">
        <v>321</v>
      </c>
      <c r="B153" s="4"/>
      <c r="C153" s="4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>
      <c r="A154" s="3" t="s">
        <v>140</v>
      </c>
      <c r="B154" s="4"/>
      <c r="C154" s="4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6.5" thickBot="1">
      <c r="A155" s="3"/>
      <c r="B155" s="4"/>
      <c r="C155" s="4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thickBot="1">
      <c r="A156" s="24"/>
      <c r="B156" s="24" t="s">
        <v>141</v>
      </c>
      <c r="C156" s="7" t="s">
        <v>143</v>
      </c>
      <c r="D156" s="24" t="s">
        <v>145</v>
      </c>
      <c r="E156" s="8" t="s">
        <v>115</v>
      </c>
      <c r="F156" s="19" t="s">
        <v>147</v>
      </c>
      <c r="G156" s="9" t="s">
        <v>115</v>
      </c>
      <c r="H156" s="9" t="s">
        <v>283</v>
      </c>
      <c r="I156" s="145" t="s">
        <v>285</v>
      </c>
      <c r="J156" s="63"/>
      <c r="K156" s="148" t="s">
        <v>300</v>
      </c>
      <c r="L156" s="148"/>
      <c r="M156" s="148"/>
      <c r="N156" s="148"/>
      <c r="O156" s="148"/>
      <c r="P156" s="148"/>
      <c r="Q156" s="148"/>
      <c r="R156" s="148" t="s">
        <v>287</v>
      </c>
      <c r="S156" s="148" t="s">
        <v>513</v>
      </c>
      <c r="T156" s="148"/>
      <c r="U156" s="148"/>
      <c r="V156" s="141" t="s">
        <v>278</v>
      </c>
      <c r="W156" s="164" t="s">
        <v>301</v>
      </c>
    </row>
    <row r="157" spans="1:23" ht="15">
      <c r="A157" s="23"/>
      <c r="B157" s="23" t="s">
        <v>142</v>
      </c>
      <c r="C157" s="10"/>
      <c r="D157" s="23" t="s">
        <v>144</v>
      </c>
      <c r="E157" s="11" t="s">
        <v>116</v>
      </c>
      <c r="F157" s="17" t="s">
        <v>148</v>
      </c>
      <c r="G157" s="12" t="s">
        <v>116</v>
      </c>
      <c r="H157" s="12" t="s">
        <v>284</v>
      </c>
      <c r="I157" s="146" t="s">
        <v>286</v>
      </c>
      <c r="J157" s="23"/>
      <c r="K157" s="10"/>
      <c r="L157" s="23"/>
      <c r="M157" s="10"/>
      <c r="N157" s="23"/>
      <c r="O157" s="10"/>
      <c r="P157" s="23"/>
      <c r="Q157" s="10"/>
      <c r="R157" s="24"/>
      <c r="S157" s="10"/>
      <c r="T157" s="24"/>
      <c r="U157" s="142"/>
      <c r="V157" s="142" t="s">
        <v>284</v>
      </c>
      <c r="W157" s="165" t="s">
        <v>116</v>
      </c>
    </row>
    <row r="158" spans="1:23" ht="16.5" thickBot="1">
      <c r="A158" s="25"/>
      <c r="B158" s="25"/>
      <c r="C158" s="13"/>
      <c r="D158" s="25"/>
      <c r="E158" s="14" t="s">
        <v>146</v>
      </c>
      <c r="F158" s="18" t="s">
        <v>135</v>
      </c>
      <c r="G158" s="15" t="s">
        <v>149</v>
      </c>
      <c r="H158" s="15" t="s">
        <v>511</v>
      </c>
      <c r="I158" s="147" t="s">
        <v>504</v>
      </c>
      <c r="J158" s="149" t="s">
        <v>288</v>
      </c>
      <c r="K158" s="150" t="s">
        <v>289</v>
      </c>
      <c r="L158" s="149" t="s">
        <v>290</v>
      </c>
      <c r="M158" s="150" t="s">
        <v>291</v>
      </c>
      <c r="N158" s="149" t="s">
        <v>292</v>
      </c>
      <c r="O158" s="150" t="s">
        <v>293</v>
      </c>
      <c r="P158" s="149" t="s">
        <v>294</v>
      </c>
      <c r="Q158" s="150" t="s">
        <v>295</v>
      </c>
      <c r="R158" s="149" t="s">
        <v>296</v>
      </c>
      <c r="S158" s="150" t="s">
        <v>297</v>
      </c>
      <c r="T158" s="149" t="s">
        <v>298</v>
      </c>
      <c r="U158" s="150" t="s">
        <v>299</v>
      </c>
      <c r="V158" s="25" t="s">
        <v>270</v>
      </c>
      <c r="W158" s="166" t="s">
        <v>512</v>
      </c>
    </row>
    <row r="159" spans="1:23" ht="15.75">
      <c r="A159" s="23">
        <v>1</v>
      </c>
      <c r="B159" s="107" t="s">
        <v>306</v>
      </c>
      <c r="C159" s="32">
        <v>130001010</v>
      </c>
      <c r="D159" s="33" t="s">
        <v>158</v>
      </c>
      <c r="E159" s="3">
        <v>494703</v>
      </c>
      <c r="F159" s="23">
        <v>1.27</v>
      </c>
      <c r="G159" s="50">
        <v>95816</v>
      </c>
      <c r="H159" s="157">
        <v>95816</v>
      </c>
      <c r="I159" s="50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50">
        <v>0</v>
      </c>
    </row>
    <row r="160" spans="1:23" ht="15.75">
      <c r="A160" s="23">
        <v>4</v>
      </c>
      <c r="B160" s="23" t="s">
        <v>307</v>
      </c>
      <c r="C160" s="32">
        <v>130001010</v>
      </c>
      <c r="D160" s="33" t="s">
        <v>164</v>
      </c>
      <c r="E160" s="3">
        <v>68972</v>
      </c>
      <c r="F160" s="23">
        <v>1.27</v>
      </c>
      <c r="G160" s="23">
        <v>136763.75</v>
      </c>
      <c r="H160" s="154">
        <v>136763.75</v>
      </c>
      <c r="I160" s="50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f>SUM(J160:U160)</f>
        <v>0</v>
      </c>
      <c r="W160" s="50">
        <v>0</v>
      </c>
    </row>
    <row r="161" spans="1:23" ht="15.75">
      <c r="A161" s="23">
        <v>5</v>
      </c>
      <c r="B161" s="167" t="s">
        <v>308</v>
      </c>
      <c r="C161" s="32">
        <v>130001010</v>
      </c>
      <c r="D161" s="33" t="s">
        <v>165</v>
      </c>
      <c r="E161" s="3">
        <v>387256</v>
      </c>
      <c r="F161" s="23">
        <v>1.27</v>
      </c>
      <c r="G161" s="50">
        <v>26790</v>
      </c>
      <c r="H161" s="154">
        <v>26790</v>
      </c>
      <c r="I161" s="50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f>SUM(J161:U161)</f>
        <v>0</v>
      </c>
      <c r="W161" s="50">
        <f>I161-V161</f>
        <v>0</v>
      </c>
    </row>
    <row r="162" spans="1:23" ht="15.75">
      <c r="A162" s="23">
        <v>6</v>
      </c>
      <c r="B162" s="183" t="s">
        <v>307</v>
      </c>
      <c r="C162" s="32"/>
      <c r="D162" s="33"/>
      <c r="E162" s="3"/>
      <c r="F162" s="23"/>
      <c r="G162" s="50">
        <v>185105.78</v>
      </c>
      <c r="H162" s="50">
        <v>185105.78</v>
      </c>
      <c r="I162" s="50">
        <f>G162-H162</f>
        <v>0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50"/>
      <c r="U162" s="23">
        <v>0</v>
      </c>
      <c r="V162" s="23">
        <f>SUM(J162:U162)</f>
        <v>0</v>
      </c>
      <c r="W162" s="50">
        <v>0</v>
      </c>
    </row>
    <row r="163" spans="1:23" ht="15.75">
      <c r="A163" s="23">
        <v>7</v>
      </c>
      <c r="B163" s="183" t="s">
        <v>307</v>
      </c>
      <c r="C163" s="32"/>
      <c r="D163" s="33"/>
      <c r="E163" s="3"/>
      <c r="F163" s="23"/>
      <c r="G163" s="50">
        <v>185105.78</v>
      </c>
      <c r="H163" s="50">
        <v>185105.78</v>
      </c>
      <c r="I163" s="50">
        <f>G163-H163</f>
        <v>0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>
        <v>0</v>
      </c>
      <c r="V163" s="23">
        <f>SUM(J163:U163)</f>
        <v>0</v>
      </c>
      <c r="W163" s="50">
        <v>0</v>
      </c>
    </row>
    <row r="164" spans="1:23" ht="15.75">
      <c r="A164" s="23">
        <v>8</v>
      </c>
      <c r="B164" s="183" t="s">
        <v>326</v>
      </c>
      <c r="C164" s="32">
        <v>130001010</v>
      </c>
      <c r="D164" s="33" t="s">
        <v>171</v>
      </c>
      <c r="E164" s="3">
        <v>283892</v>
      </c>
      <c r="F164" s="23">
        <v>1.27</v>
      </c>
      <c r="G164" s="50">
        <v>31465.5</v>
      </c>
      <c r="H164" s="50">
        <v>31465.5</v>
      </c>
      <c r="I164" s="50">
        <v>0</v>
      </c>
      <c r="J164" s="23">
        <v>0</v>
      </c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50">
        <v>0</v>
      </c>
    </row>
    <row r="165" spans="1:23" ht="15.75">
      <c r="A165" s="23">
        <v>9</v>
      </c>
      <c r="B165" s="10" t="s">
        <v>307</v>
      </c>
      <c r="C165" s="32"/>
      <c r="D165" s="32"/>
      <c r="E165" s="3"/>
      <c r="F165" s="10"/>
      <c r="G165" s="50">
        <v>372000</v>
      </c>
      <c r="H165" s="155">
        <v>372000</v>
      </c>
      <c r="I165" s="50">
        <f>G165-H165</f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f>J165+K165+L165+M165+N165+O165+P165+Q165+R165+S165+T165+U165</f>
        <v>0</v>
      </c>
      <c r="W165" s="50">
        <f>I165-V165</f>
        <v>0</v>
      </c>
    </row>
    <row r="166" spans="1:23" ht="15.75">
      <c r="A166" s="23">
        <v>10</v>
      </c>
      <c r="B166" s="182" t="s">
        <v>453</v>
      </c>
      <c r="C166" s="32"/>
      <c r="D166" s="32"/>
      <c r="E166" s="3"/>
      <c r="F166" s="10"/>
      <c r="G166" s="50">
        <v>1687385</v>
      </c>
      <c r="H166" s="155">
        <f>G166</f>
        <v>1687385</v>
      </c>
      <c r="I166" s="50">
        <v>0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163"/>
      <c r="T166" s="163"/>
      <c r="U166" s="23"/>
      <c r="V166" s="163">
        <f>J166+K166+L166+M166+N166+O166+P166+Q166+R166+S166+T166+U166</f>
        <v>0</v>
      </c>
      <c r="W166" s="50">
        <v>0</v>
      </c>
    </row>
    <row r="167" spans="1:23" ht="15.75">
      <c r="A167" s="23"/>
      <c r="B167" s="182" t="s">
        <v>493</v>
      </c>
      <c r="C167" s="32"/>
      <c r="D167" s="32"/>
      <c r="E167" s="3"/>
      <c r="F167" s="10"/>
      <c r="G167" s="50"/>
      <c r="H167" s="155"/>
      <c r="I167" s="50">
        <v>0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163">
        <f>N167*R167</f>
        <v>0</v>
      </c>
      <c r="T167" s="163">
        <f>O167*S167</f>
        <v>0</v>
      </c>
      <c r="U167" s="23"/>
      <c r="V167" s="23"/>
      <c r="W167" s="50">
        <v>0</v>
      </c>
    </row>
    <row r="168" spans="1:23" ht="15.75">
      <c r="A168" s="23">
        <v>11</v>
      </c>
      <c r="B168" s="182" t="s">
        <v>494</v>
      </c>
      <c r="C168" s="32"/>
      <c r="D168" s="32"/>
      <c r="E168" s="3"/>
      <c r="F168" s="10"/>
      <c r="G168" s="50">
        <v>1734524</v>
      </c>
      <c r="H168" s="155">
        <v>1734524</v>
      </c>
      <c r="I168" s="50">
        <v>0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163"/>
      <c r="T168" s="163"/>
      <c r="U168" s="23"/>
      <c r="V168" s="163"/>
      <c r="W168" s="50">
        <v>0</v>
      </c>
    </row>
    <row r="169" spans="1:23" ht="15.75">
      <c r="A169" s="23"/>
      <c r="B169" s="182" t="s">
        <v>495</v>
      </c>
      <c r="C169" s="32"/>
      <c r="D169" s="32"/>
      <c r="E169" s="3"/>
      <c r="F169" s="10"/>
      <c r="G169" s="50"/>
      <c r="H169" s="155"/>
      <c r="I169" s="50"/>
      <c r="J169" s="23"/>
      <c r="K169" s="23"/>
      <c r="L169" s="23"/>
      <c r="M169" s="23"/>
      <c r="N169" s="23"/>
      <c r="O169" s="23"/>
      <c r="P169" s="23"/>
      <c r="Q169" s="23"/>
      <c r="R169" s="23"/>
      <c r="S169" s="163"/>
      <c r="T169" s="163"/>
      <c r="U169" s="23"/>
      <c r="V169" s="163"/>
      <c r="W169" s="50"/>
    </row>
    <row r="170" spans="1:23" ht="15.75">
      <c r="A170" s="23">
        <v>12</v>
      </c>
      <c r="B170" s="182" t="s">
        <v>456</v>
      </c>
      <c r="C170" s="32"/>
      <c r="D170" s="32"/>
      <c r="E170" s="3"/>
      <c r="F170" s="10"/>
      <c r="G170" s="50">
        <v>81098</v>
      </c>
      <c r="H170" s="155">
        <v>81098</v>
      </c>
      <c r="I170" s="50">
        <v>0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163"/>
      <c r="T170" s="163"/>
      <c r="U170" s="23"/>
      <c r="V170" s="163"/>
      <c r="W170" s="50">
        <v>0</v>
      </c>
    </row>
    <row r="171" spans="1:23" ht="15.75">
      <c r="A171" s="23"/>
      <c r="B171" s="182" t="s">
        <v>496</v>
      </c>
      <c r="C171" s="32"/>
      <c r="D171" s="32"/>
      <c r="E171" s="3"/>
      <c r="F171" s="10"/>
      <c r="G171" s="50"/>
      <c r="H171" s="155"/>
      <c r="I171" s="50"/>
      <c r="J171" s="23"/>
      <c r="K171" s="23"/>
      <c r="L171" s="23"/>
      <c r="M171" s="23"/>
      <c r="N171" s="23"/>
      <c r="O171" s="23"/>
      <c r="P171" s="23"/>
      <c r="Q171" s="23"/>
      <c r="R171" s="23"/>
      <c r="S171" s="163"/>
      <c r="T171" s="163"/>
      <c r="U171" s="23"/>
      <c r="V171" s="163"/>
      <c r="W171" s="50"/>
    </row>
    <row r="172" spans="1:23" ht="15.75">
      <c r="A172" s="23">
        <v>13</v>
      </c>
      <c r="B172" s="182" t="s">
        <v>457</v>
      </c>
      <c r="C172" s="32"/>
      <c r="D172" s="32"/>
      <c r="E172" s="3"/>
      <c r="F172" s="10"/>
      <c r="G172" s="50">
        <v>450452</v>
      </c>
      <c r="H172" s="155">
        <v>450452</v>
      </c>
      <c r="I172" s="50">
        <v>0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163"/>
      <c r="T172" s="163"/>
      <c r="U172" s="23"/>
      <c r="V172" s="163"/>
      <c r="W172" s="50">
        <v>0</v>
      </c>
    </row>
    <row r="173" spans="1:23" ht="15.75">
      <c r="A173" s="23"/>
      <c r="B173" s="182" t="s">
        <v>497</v>
      </c>
      <c r="C173" s="32"/>
      <c r="D173" s="32"/>
      <c r="E173" s="3"/>
      <c r="F173" s="10"/>
      <c r="G173" s="50"/>
      <c r="H173" s="155"/>
      <c r="I173" s="50"/>
      <c r="J173" s="23"/>
      <c r="K173" s="23"/>
      <c r="L173" s="23"/>
      <c r="M173" s="23"/>
      <c r="N173" s="23"/>
      <c r="O173" s="23"/>
      <c r="P173" s="23"/>
      <c r="Q173" s="23"/>
      <c r="R173" s="23"/>
      <c r="S173" s="163"/>
      <c r="T173" s="163"/>
      <c r="U173" s="23"/>
      <c r="V173" s="163"/>
      <c r="W173" s="50"/>
    </row>
    <row r="174" spans="1:23" ht="15.75">
      <c r="A174" s="23">
        <v>14</v>
      </c>
      <c r="B174" s="182" t="s">
        <v>458</v>
      </c>
      <c r="C174" s="32"/>
      <c r="D174" s="32"/>
      <c r="E174" s="3"/>
      <c r="F174" s="10"/>
      <c r="G174" s="50">
        <v>233623</v>
      </c>
      <c r="H174" s="155">
        <v>233623</v>
      </c>
      <c r="I174" s="50">
        <v>0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163"/>
      <c r="T174" s="163"/>
      <c r="U174" s="23"/>
      <c r="V174" s="163"/>
      <c r="W174" s="50">
        <v>0</v>
      </c>
    </row>
    <row r="175" spans="1:23" ht="15.75">
      <c r="A175" s="23"/>
      <c r="B175" s="182" t="s">
        <v>498</v>
      </c>
      <c r="C175" s="32"/>
      <c r="D175" s="32"/>
      <c r="E175" s="3"/>
      <c r="F175" s="10"/>
      <c r="G175" s="50"/>
      <c r="H175" s="155"/>
      <c r="I175" s="50"/>
      <c r="J175" s="23"/>
      <c r="K175" s="23"/>
      <c r="L175" s="23"/>
      <c r="M175" s="23"/>
      <c r="N175" s="23"/>
      <c r="O175" s="23"/>
      <c r="P175" s="23"/>
      <c r="Q175" s="23"/>
      <c r="R175" s="23"/>
      <c r="S175" s="163"/>
      <c r="T175" s="163"/>
      <c r="U175" s="23"/>
      <c r="V175" s="163"/>
      <c r="W175" s="50"/>
    </row>
    <row r="176" spans="1:23" ht="15.75">
      <c r="A176" s="23">
        <v>15</v>
      </c>
      <c r="B176" s="182" t="s">
        <v>307</v>
      </c>
      <c r="C176" s="32"/>
      <c r="D176" s="32"/>
      <c r="E176" s="3"/>
      <c r="F176" s="10"/>
      <c r="G176" s="50">
        <v>127100</v>
      </c>
      <c r="H176" s="155">
        <v>69691</v>
      </c>
      <c r="I176" s="50">
        <f>G176-H176</f>
        <v>57409</v>
      </c>
      <c r="J176" s="23">
        <v>1059</v>
      </c>
      <c r="K176" s="23">
        <v>1059</v>
      </c>
      <c r="L176" s="23">
        <v>1059</v>
      </c>
      <c r="M176" s="23">
        <v>1059</v>
      </c>
      <c r="N176" s="23">
        <v>1059</v>
      </c>
      <c r="O176" s="23">
        <v>1059</v>
      </c>
      <c r="P176" s="23">
        <v>1059</v>
      </c>
      <c r="Q176" s="23">
        <v>1059</v>
      </c>
      <c r="R176" s="23">
        <v>1059</v>
      </c>
      <c r="S176" s="163">
        <v>1059</v>
      </c>
      <c r="T176" s="163">
        <v>1059</v>
      </c>
      <c r="U176" s="23">
        <v>1059</v>
      </c>
      <c r="V176" s="163">
        <f>J176+K176+L176+M176+N176+O176+P176+Q176+R176+S176+T176+U176</f>
        <v>12708</v>
      </c>
      <c r="W176" s="50">
        <f>I176-V176</f>
        <v>44701</v>
      </c>
    </row>
    <row r="177" spans="1:23" ht="16.5" thickBot="1">
      <c r="A177" s="23">
        <v>16</v>
      </c>
      <c r="B177" s="182" t="s">
        <v>307</v>
      </c>
      <c r="C177" s="32"/>
      <c r="D177" s="32"/>
      <c r="E177" s="3"/>
      <c r="F177" s="10"/>
      <c r="G177" s="50">
        <v>127100</v>
      </c>
      <c r="H177" s="155">
        <v>69691</v>
      </c>
      <c r="I177" s="50">
        <f>G177-H177</f>
        <v>57409</v>
      </c>
      <c r="J177" s="23">
        <v>1059</v>
      </c>
      <c r="K177" s="23">
        <v>1059</v>
      </c>
      <c r="L177" s="23">
        <v>1059</v>
      </c>
      <c r="M177" s="23">
        <v>1059</v>
      </c>
      <c r="N177" s="23">
        <v>1059</v>
      </c>
      <c r="O177" s="23">
        <v>1059</v>
      </c>
      <c r="P177" s="23">
        <v>1059</v>
      </c>
      <c r="Q177" s="23">
        <v>1059</v>
      </c>
      <c r="R177" s="23">
        <v>1059</v>
      </c>
      <c r="S177" s="163">
        <v>1059</v>
      </c>
      <c r="T177" s="163">
        <v>1059</v>
      </c>
      <c r="U177" s="23">
        <v>1059</v>
      </c>
      <c r="V177" s="163">
        <f>J177+K177+L177+M177+N177+O177+P177+Q177+R177+S177+T177+U177</f>
        <v>12708</v>
      </c>
      <c r="W177" s="50">
        <f>I177-V177</f>
        <v>44701</v>
      </c>
    </row>
    <row r="178" spans="1:23" ht="16.5" thickBot="1">
      <c r="A178" s="27"/>
      <c r="B178" s="21" t="s">
        <v>278</v>
      </c>
      <c r="C178" s="184"/>
      <c r="D178" s="184"/>
      <c r="E178" s="184"/>
      <c r="F178" s="184"/>
      <c r="G178" s="53">
        <f>G159+G160+G161+G162+G163+G164+G165+G166+G167+G168+G169+G170+G171+G172+G173+G174+G175+G176+G177</f>
        <v>5474328.8100000005</v>
      </c>
      <c r="H178" s="52">
        <f>H159+H160+H161+H162+H163+H164+H165+H166+H167+H168+H170+H172+H174+H176+H177</f>
        <v>5359510.8100000005</v>
      </c>
      <c r="I178" s="53">
        <f>I159+I160+I161+I162+I163+I164+I165+I166+I168+I170+I172+I174+I176+I177</f>
        <v>114818</v>
      </c>
      <c r="J178" s="22">
        <f>J159+J160+J161+J162+J163+J164+J165+J166+J167+J168+J169+J170+J171+J172+J173+J174+J175+J176+J177</f>
        <v>2118</v>
      </c>
      <c r="K178" s="22">
        <f>K165+K176+K177</f>
        <v>2118</v>
      </c>
      <c r="L178" s="22">
        <f>L165+L176+L177</f>
        <v>2118</v>
      </c>
      <c r="M178" s="22">
        <f>M165+M176+M177</f>
        <v>2118</v>
      </c>
      <c r="N178" s="22">
        <f>N165+N176+N177</f>
        <v>2118</v>
      </c>
      <c r="O178" s="22">
        <f>SUM(O159:O165)</f>
        <v>0</v>
      </c>
      <c r="P178" s="22">
        <f>SUM(P159:P166)</f>
        <v>0</v>
      </c>
      <c r="Q178" s="22">
        <f>SUM(Q159:Q166)</f>
        <v>0</v>
      </c>
      <c r="R178" s="22">
        <f>R165+R176+R177</f>
        <v>2118</v>
      </c>
      <c r="S178" s="159">
        <f>S162+S163+S165+S176+S177</f>
        <v>2118</v>
      </c>
      <c r="T178" s="159">
        <f>SUM(T159:T177)</f>
        <v>2118</v>
      </c>
      <c r="U178" s="53">
        <f>SUM(U159:U177)</f>
        <v>2118</v>
      </c>
      <c r="V178" s="53">
        <f>SUM(V159:V177)</f>
        <v>25416</v>
      </c>
      <c r="W178" s="53">
        <f>SUM(W159:W177)</f>
        <v>89402</v>
      </c>
    </row>
    <row r="179" spans="2:9" ht="15.75">
      <c r="B179" s="215"/>
      <c r="H179" s="8"/>
      <c r="I179" s="216"/>
    </row>
    <row r="180" spans="2:23" ht="15.75">
      <c r="B180" s="217"/>
      <c r="G180" s="54"/>
      <c r="H180" s="59"/>
      <c r="I180" s="216"/>
      <c r="W180" s="216"/>
    </row>
    <row r="181" spans="2:9" ht="15.75">
      <c r="B181" s="217"/>
      <c r="H181" s="11"/>
      <c r="I181" s="216"/>
    </row>
    <row r="182" ht="15">
      <c r="B182" s="3" t="s">
        <v>267</v>
      </c>
    </row>
    <row r="184" ht="15">
      <c r="B184" s="3"/>
    </row>
    <row r="186" ht="12.75">
      <c r="B186" t="s">
        <v>531</v>
      </c>
    </row>
    <row r="195" spans="1:23" ht="23.25">
      <c r="A195" s="3"/>
      <c r="C195" s="5" t="s">
        <v>136</v>
      </c>
      <c r="E195" s="5"/>
      <c r="F195" s="5"/>
      <c r="G195" s="5"/>
      <c r="H195" s="5"/>
      <c r="I195" s="161" t="s">
        <v>302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>
      <c r="A196" s="3"/>
      <c r="B196" s="4"/>
      <c r="C196" s="4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20.25">
      <c r="A197" s="3"/>
      <c r="B197" s="4"/>
      <c r="C197" s="4" t="s">
        <v>150</v>
      </c>
      <c r="D197" s="4"/>
      <c r="E197" s="3"/>
      <c r="F197" s="3"/>
      <c r="G197" s="3"/>
      <c r="H197" s="162" t="s">
        <v>502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>
      <c r="A198" s="3"/>
      <c r="B198" s="4"/>
      <c r="C198" s="4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>
      <c r="A199" s="3" t="s">
        <v>137</v>
      </c>
      <c r="B199" s="4"/>
      <c r="C199" s="4" t="s">
        <v>151</v>
      </c>
      <c r="D199" s="4"/>
      <c r="E199" s="4"/>
      <c r="F199" s="3"/>
      <c r="G199" s="4" t="s">
        <v>303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>
      <c r="A200" s="3" t="s">
        <v>138</v>
      </c>
      <c r="B200" s="4"/>
      <c r="C200" s="4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>
      <c r="A201" s="3" t="s">
        <v>324</v>
      </c>
      <c r="B201" s="4"/>
      <c r="C201" s="4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>
      <c r="A202" s="3" t="s">
        <v>140</v>
      </c>
      <c r="B202" s="4"/>
      <c r="C202" s="4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6.5" thickBot="1">
      <c r="A203" s="3"/>
      <c r="B203" s="4"/>
      <c r="C203" s="4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thickBot="1">
      <c r="A204" s="24"/>
      <c r="B204" s="24" t="s">
        <v>141</v>
      </c>
      <c r="C204" s="7" t="s">
        <v>143</v>
      </c>
      <c r="D204" s="24" t="s">
        <v>145</v>
      </c>
      <c r="E204" s="8" t="s">
        <v>115</v>
      </c>
      <c r="F204" s="19" t="s">
        <v>147</v>
      </c>
      <c r="G204" s="9" t="s">
        <v>115</v>
      </c>
      <c r="H204" s="9" t="s">
        <v>283</v>
      </c>
      <c r="I204" s="145" t="s">
        <v>285</v>
      </c>
      <c r="J204" s="63"/>
      <c r="K204" s="148" t="s">
        <v>300</v>
      </c>
      <c r="L204" s="148"/>
      <c r="M204" s="148"/>
      <c r="N204" s="148"/>
      <c r="O204" s="148"/>
      <c r="P204" s="148"/>
      <c r="Q204" s="148"/>
      <c r="R204" s="148" t="s">
        <v>287</v>
      </c>
      <c r="S204" s="148" t="s">
        <v>503</v>
      </c>
      <c r="T204" s="148"/>
      <c r="U204" s="148"/>
      <c r="V204" s="141" t="s">
        <v>278</v>
      </c>
      <c r="W204" s="164" t="s">
        <v>301</v>
      </c>
    </row>
    <row r="205" spans="1:23" ht="15">
      <c r="A205" s="23"/>
      <c r="B205" s="23" t="s">
        <v>142</v>
      </c>
      <c r="C205" s="10"/>
      <c r="D205" s="23" t="s">
        <v>144</v>
      </c>
      <c r="E205" s="11" t="s">
        <v>116</v>
      </c>
      <c r="F205" s="17" t="s">
        <v>148</v>
      </c>
      <c r="G205" s="12" t="s">
        <v>116</v>
      </c>
      <c r="H205" s="12" t="s">
        <v>284</v>
      </c>
      <c r="I205" s="146" t="s">
        <v>286</v>
      </c>
      <c r="J205" s="23"/>
      <c r="K205" s="10"/>
      <c r="L205" s="23"/>
      <c r="M205" s="10"/>
      <c r="N205" s="23"/>
      <c r="O205" s="10"/>
      <c r="P205" s="23"/>
      <c r="Q205" s="10"/>
      <c r="R205" s="24"/>
      <c r="S205" s="10"/>
      <c r="T205" s="24"/>
      <c r="U205" s="142"/>
      <c r="V205" s="142" t="s">
        <v>284</v>
      </c>
      <c r="W205" s="165" t="s">
        <v>116</v>
      </c>
    </row>
    <row r="206" spans="1:23" ht="16.5" thickBot="1">
      <c r="A206" s="25"/>
      <c r="B206" s="25"/>
      <c r="C206" s="13"/>
      <c r="D206" s="25"/>
      <c r="E206" s="14" t="s">
        <v>146</v>
      </c>
      <c r="F206" s="18" t="s">
        <v>135</v>
      </c>
      <c r="G206" s="15" t="s">
        <v>149</v>
      </c>
      <c r="H206" s="15"/>
      <c r="I206" s="147" t="s">
        <v>507</v>
      </c>
      <c r="J206" s="149" t="s">
        <v>288</v>
      </c>
      <c r="K206" s="150" t="s">
        <v>289</v>
      </c>
      <c r="L206" s="149" t="s">
        <v>290</v>
      </c>
      <c r="M206" s="150" t="s">
        <v>291</v>
      </c>
      <c r="N206" s="149" t="s">
        <v>292</v>
      </c>
      <c r="O206" s="150" t="s">
        <v>293</v>
      </c>
      <c r="P206" s="149" t="s">
        <v>294</v>
      </c>
      <c r="Q206" s="150" t="s">
        <v>295</v>
      </c>
      <c r="R206" s="149" t="s">
        <v>296</v>
      </c>
      <c r="S206" s="150" t="s">
        <v>297</v>
      </c>
      <c r="T206" s="149" t="s">
        <v>298</v>
      </c>
      <c r="U206" s="150" t="s">
        <v>299</v>
      </c>
      <c r="V206" s="25" t="s">
        <v>270</v>
      </c>
      <c r="W206" s="166" t="s">
        <v>500</v>
      </c>
    </row>
    <row r="207" spans="1:23" ht="16.5" thickBot="1">
      <c r="A207" s="23">
        <v>1</v>
      </c>
      <c r="B207" s="23" t="s">
        <v>322</v>
      </c>
      <c r="C207" s="32">
        <v>130001010</v>
      </c>
      <c r="D207" s="33" t="s">
        <v>157</v>
      </c>
      <c r="E207" s="3">
        <v>578408</v>
      </c>
      <c r="F207" s="23">
        <v>1.27</v>
      </c>
      <c r="G207" s="186">
        <v>166291.44</v>
      </c>
      <c r="H207" s="233">
        <v>166291.44</v>
      </c>
      <c r="I207" s="238">
        <f>G207-H207</f>
        <v>0</v>
      </c>
      <c r="J207" s="190">
        <v>0</v>
      </c>
      <c r="K207" s="190">
        <v>0</v>
      </c>
      <c r="L207" s="190">
        <v>0</v>
      </c>
      <c r="M207" s="190">
        <v>0</v>
      </c>
      <c r="N207" s="190">
        <v>0</v>
      </c>
      <c r="O207" s="190">
        <v>0</v>
      </c>
      <c r="P207" s="190">
        <v>0</v>
      </c>
      <c r="Q207" s="190">
        <v>0</v>
      </c>
      <c r="R207" s="190">
        <v>0</v>
      </c>
      <c r="S207" s="190">
        <v>0</v>
      </c>
      <c r="T207" s="190">
        <v>0</v>
      </c>
      <c r="U207" s="190">
        <v>0</v>
      </c>
      <c r="V207" s="50">
        <f>SUM(J207:U207)</f>
        <v>0</v>
      </c>
      <c r="W207" s="50">
        <f>I207-V207</f>
        <v>0</v>
      </c>
    </row>
    <row r="208" spans="1:23" ht="15.75">
      <c r="A208" s="220">
        <v>2</v>
      </c>
      <c r="B208" s="24" t="s">
        <v>323</v>
      </c>
      <c r="C208" s="32">
        <v>130001010</v>
      </c>
      <c r="D208" s="33" t="s">
        <v>158</v>
      </c>
      <c r="E208" s="3">
        <v>494703</v>
      </c>
      <c r="F208" s="23">
        <v>1.27</v>
      </c>
      <c r="G208" s="234">
        <v>676200</v>
      </c>
      <c r="H208" s="235">
        <f>615342+60858</f>
        <v>676200</v>
      </c>
      <c r="I208" s="238">
        <f>G208-H208</f>
        <v>0</v>
      </c>
      <c r="J208" s="163">
        <v>0</v>
      </c>
      <c r="K208" s="163">
        <v>0</v>
      </c>
      <c r="L208" s="163">
        <v>0</v>
      </c>
      <c r="M208" s="163">
        <v>0</v>
      </c>
      <c r="N208" s="163">
        <v>0</v>
      </c>
      <c r="O208" s="163">
        <v>0</v>
      </c>
      <c r="P208" s="163">
        <v>0</v>
      </c>
      <c r="Q208" s="163">
        <v>0</v>
      </c>
      <c r="R208" s="163">
        <v>0</v>
      </c>
      <c r="S208" s="163">
        <v>0</v>
      </c>
      <c r="T208" s="163">
        <v>0</v>
      </c>
      <c r="U208" s="163">
        <v>0</v>
      </c>
      <c r="V208" s="23">
        <f>SUM(J208:U208)</f>
        <v>0</v>
      </c>
      <c r="W208" s="23">
        <f>I208-V208</f>
        <v>0</v>
      </c>
    </row>
    <row r="209" spans="1:23" ht="15.75">
      <c r="A209" s="220">
        <v>3</v>
      </c>
      <c r="B209" s="23" t="s">
        <v>526</v>
      </c>
      <c r="C209" s="32"/>
      <c r="D209" s="32"/>
      <c r="E209" s="3"/>
      <c r="F209" s="10"/>
      <c r="G209" s="236">
        <v>486514.86</v>
      </c>
      <c r="H209" s="236">
        <v>486514.86</v>
      </c>
      <c r="I209" s="234">
        <v>0</v>
      </c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142"/>
      <c r="W209" s="142"/>
    </row>
    <row r="210" spans="1:23" ht="15.75">
      <c r="A210" s="220">
        <v>4</v>
      </c>
      <c r="B210" s="23" t="s">
        <v>528</v>
      </c>
      <c r="C210" s="32"/>
      <c r="D210" s="32"/>
      <c r="E210" s="3"/>
      <c r="F210" s="10"/>
      <c r="G210" s="236">
        <v>453882</v>
      </c>
      <c r="H210" s="236">
        <v>453882</v>
      </c>
      <c r="I210" s="234">
        <v>0</v>
      </c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142"/>
      <c r="W210" s="142"/>
    </row>
    <row r="211" spans="1:23" ht="15.75">
      <c r="A211" s="220">
        <v>5</v>
      </c>
      <c r="B211" s="23" t="s">
        <v>517</v>
      </c>
      <c r="C211" s="32"/>
      <c r="D211" s="32"/>
      <c r="E211" s="3"/>
      <c r="F211" s="10"/>
      <c r="G211" s="236">
        <v>143520</v>
      </c>
      <c r="H211" s="236">
        <v>143520</v>
      </c>
      <c r="I211" s="234">
        <v>0</v>
      </c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142"/>
      <c r="W211" s="142"/>
    </row>
    <row r="212" spans="1:23" ht="15.75">
      <c r="A212" s="220">
        <v>6</v>
      </c>
      <c r="B212" s="23" t="s">
        <v>518</v>
      </c>
      <c r="C212" s="32"/>
      <c r="D212" s="32"/>
      <c r="E212" s="3"/>
      <c r="F212" s="10"/>
      <c r="G212" s="236">
        <v>19333.8</v>
      </c>
      <c r="H212" s="236">
        <v>19333.8</v>
      </c>
      <c r="I212" s="234">
        <f aca="true" t="shared" si="19" ref="I212:I221">G212-H212</f>
        <v>0</v>
      </c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142"/>
      <c r="W212" s="142"/>
    </row>
    <row r="213" spans="1:23" ht="15.75">
      <c r="A213" s="220">
        <v>7</v>
      </c>
      <c r="B213" s="23" t="s">
        <v>527</v>
      </c>
      <c r="C213" s="32"/>
      <c r="D213" s="32"/>
      <c r="E213" s="3"/>
      <c r="F213" s="10"/>
      <c r="G213" s="236">
        <v>132700.8</v>
      </c>
      <c r="H213" s="236">
        <v>132700.8</v>
      </c>
      <c r="I213" s="234">
        <f t="shared" si="19"/>
        <v>0</v>
      </c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142"/>
      <c r="W213" s="142"/>
    </row>
    <row r="214" spans="1:23" ht="15.75">
      <c r="A214" s="220">
        <v>8</v>
      </c>
      <c r="B214" s="23" t="s">
        <v>519</v>
      </c>
      <c r="C214" s="32"/>
      <c r="D214" s="32"/>
      <c r="E214" s="3"/>
      <c r="F214" s="10"/>
      <c r="G214" s="236">
        <v>293783.66</v>
      </c>
      <c r="H214" s="236">
        <v>293783.66</v>
      </c>
      <c r="I214" s="234">
        <f t="shared" si="19"/>
        <v>0</v>
      </c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142"/>
      <c r="W214" s="142"/>
    </row>
    <row r="215" spans="1:23" ht="15.75">
      <c r="A215" s="220">
        <v>9</v>
      </c>
      <c r="B215" s="23" t="s">
        <v>520</v>
      </c>
      <c r="C215" s="32"/>
      <c r="D215" s="32"/>
      <c r="E215" s="3"/>
      <c r="F215" s="10"/>
      <c r="G215" s="236">
        <v>129819.36</v>
      </c>
      <c r="H215" s="236">
        <v>129819.36</v>
      </c>
      <c r="I215" s="234">
        <f t="shared" si="19"/>
        <v>0</v>
      </c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142"/>
      <c r="W215" s="142"/>
    </row>
    <row r="216" spans="1:23" ht="15.75">
      <c r="A216" s="220">
        <v>10</v>
      </c>
      <c r="B216" s="23" t="s">
        <v>521</v>
      </c>
      <c r="C216" s="32"/>
      <c r="D216" s="32"/>
      <c r="E216" s="3"/>
      <c r="F216" s="10"/>
      <c r="G216" s="236">
        <v>365295.16</v>
      </c>
      <c r="H216" s="236">
        <v>365295.16</v>
      </c>
      <c r="I216" s="234">
        <f t="shared" si="19"/>
        <v>0</v>
      </c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142"/>
      <c r="W216" s="142"/>
    </row>
    <row r="217" spans="1:23" ht="15.75">
      <c r="A217" s="220">
        <v>11</v>
      </c>
      <c r="B217" s="23" t="s">
        <v>522</v>
      </c>
      <c r="C217" s="32"/>
      <c r="D217" s="32"/>
      <c r="E217" s="3"/>
      <c r="F217" s="10"/>
      <c r="G217" s="236">
        <v>8659.5</v>
      </c>
      <c r="H217" s="236">
        <v>8659.5</v>
      </c>
      <c r="I217" s="234">
        <f t="shared" si="19"/>
        <v>0</v>
      </c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142"/>
      <c r="W217" s="142"/>
    </row>
    <row r="218" spans="1:23" ht="15.75">
      <c r="A218" s="220">
        <v>12</v>
      </c>
      <c r="B218" s="23" t="s">
        <v>523</v>
      </c>
      <c r="C218" s="32"/>
      <c r="D218" s="32"/>
      <c r="E218" s="3"/>
      <c r="F218" s="10"/>
      <c r="G218" s="236">
        <v>55545</v>
      </c>
      <c r="H218" s="236">
        <v>55545</v>
      </c>
      <c r="I218" s="234">
        <f t="shared" si="19"/>
        <v>0</v>
      </c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142"/>
      <c r="W218" s="142"/>
    </row>
    <row r="219" spans="1:23" ht="15.75">
      <c r="A219" s="220">
        <v>13</v>
      </c>
      <c r="B219" s="23" t="s">
        <v>529</v>
      </c>
      <c r="C219" s="32"/>
      <c r="D219" s="32"/>
      <c r="E219" s="3"/>
      <c r="F219" s="10"/>
      <c r="G219" s="236">
        <v>89712.42</v>
      </c>
      <c r="H219" s="236">
        <v>89712.42</v>
      </c>
      <c r="I219" s="234">
        <f t="shared" si="19"/>
        <v>0</v>
      </c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142"/>
      <c r="W219" s="142"/>
    </row>
    <row r="220" spans="1:23" ht="15.75">
      <c r="A220" s="220">
        <v>14</v>
      </c>
      <c r="B220" s="23" t="s">
        <v>524</v>
      </c>
      <c r="C220" s="32"/>
      <c r="D220" s="32"/>
      <c r="E220" s="3"/>
      <c r="F220" s="10"/>
      <c r="G220" s="236">
        <v>8205.48</v>
      </c>
      <c r="H220" s="236">
        <v>8205.48</v>
      </c>
      <c r="I220" s="234">
        <f t="shared" si="19"/>
        <v>0</v>
      </c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142"/>
      <c r="W220" s="142"/>
    </row>
    <row r="221" spans="1:23" ht="16.5" thickBot="1">
      <c r="A221" s="220">
        <v>15</v>
      </c>
      <c r="B221" s="25" t="s">
        <v>525</v>
      </c>
      <c r="C221" s="32"/>
      <c r="D221" s="32"/>
      <c r="E221" s="3"/>
      <c r="F221" s="10"/>
      <c r="G221" s="236">
        <v>6006.56</v>
      </c>
      <c r="H221" s="236">
        <v>6006.56</v>
      </c>
      <c r="I221" s="240">
        <f t="shared" si="19"/>
        <v>0</v>
      </c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142"/>
      <c r="W221" s="142"/>
    </row>
    <row r="222" spans="1:23" ht="16.5" thickBot="1">
      <c r="A222" s="191"/>
      <c r="B222" s="169" t="s">
        <v>278</v>
      </c>
      <c r="C222" s="184"/>
      <c r="D222" s="184"/>
      <c r="E222" s="184"/>
      <c r="F222" s="184"/>
      <c r="G222" s="237">
        <f>G207+G208+G209+G210+G211+G212+G213+G214+G215+G216+G217+G218+G219+G220+G221</f>
        <v>3035470.04</v>
      </c>
      <c r="H222" s="237">
        <f>H207+H208+H209+H210+H211+H212+H213+H214+H215+H216+H217+H218+H219+H220+H221</f>
        <v>3035470.04</v>
      </c>
      <c r="I222" s="239">
        <f aca="true" t="shared" si="20" ref="I222:V222">SUM(I207:I208)</f>
        <v>0</v>
      </c>
      <c r="J222" s="192">
        <f t="shared" si="20"/>
        <v>0</v>
      </c>
      <c r="K222" s="192">
        <f t="shared" si="20"/>
        <v>0</v>
      </c>
      <c r="L222" s="192">
        <f t="shared" si="20"/>
        <v>0</v>
      </c>
      <c r="M222" s="192">
        <f t="shared" si="20"/>
        <v>0</v>
      </c>
      <c r="N222" s="192">
        <f t="shared" si="20"/>
        <v>0</v>
      </c>
      <c r="O222" s="192">
        <f t="shared" si="20"/>
        <v>0</v>
      </c>
      <c r="P222" s="192">
        <f t="shared" si="20"/>
        <v>0</v>
      </c>
      <c r="Q222" s="192">
        <f t="shared" si="20"/>
        <v>0</v>
      </c>
      <c r="R222" s="192">
        <f t="shared" si="20"/>
        <v>0</v>
      </c>
      <c r="S222" s="192">
        <f t="shared" si="20"/>
        <v>0</v>
      </c>
      <c r="T222" s="192">
        <f t="shared" si="20"/>
        <v>0</v>
      </c>
      <c r="U222" s="192">
        <f t="shared" si="20"/>
        <v>0</v>
      </c>
      <c r="V222" s="192">
        <f t="shared" si="20"/>
        <v>0</v>
      </c>
      <c r="W222" s="195">
        <f>SUM(W207:W208)</f>
        <v>0</v>
      </c>
    </row>
    <row r="223" spans="1:9" ht="12.75">
      <c r="A223" s="9"/>
      <c r="B223" s="9"/>
      <c r="G223" s="9"/>
      <c r="H223" s="19"/>
      <c r="I223" s="17"/>
    </row>
    <row r="224" spans="1:9" ht="16.5" thickBot="1">
      <c r="A224" s="12"/>
      <c r="B224" s="241" t="s">
        <v>156</v>
      </c>
      <c r="C224" s="3"/>
      <c r="D224" s="3"/>
      <c r="E224" s="3"/>
      <c r="F224" s="3"/>
      <c r="G224" s="242">
        <f>G140+G178+G222</f>
        <v>30023524.820000008</v>
      </c>
      <c r="H224" s="56">
        <f>H140+H178+H222</f>
        <v>28067804.320000008</v>
      </c>
      <c r="I224" s="56">
        <f>I121+I138+I178</f>
        <v>1955720.5000000002</v>
      </c>
    </row>
    <row r="225" spans="1:23" ht="13.5" thickBot="1">
      <c r="A225" s="27"/>
      <c r="B225" s="209"/>
      <c r="C225" s="184"/>
      <c r="D225" s="184"/>
      <c r="E225" s="184"/>
      <c r="F225" s="184"/>
      <c r="G225" s="209"/>
      <c r="H225" s="27"/>
      <c r="I225" s="27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209"/>
    </row>
    <row r="232" ht="15">
      <c r="B232" s="3" t="s">
        <v>267</v>
      </c>
    </row>
    <row r="234" ht="15">
      <c r="B234" s="3"/>
    </row>
    <row r="236" ht="12.75">
      <c r="B236" t="s">
        <v>530</v>
      </c>
    </row>
  </sheetData>
  <printOptions gridLines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5" r:id="rId1"/>
  <rowBreaks count="4" manualBreakCount="4">
    <brk id="45" max="22" man="1"/>
    <brk id="93" max="22" man="1"/>
    <brk id="146" max="22" man="1"/>
    <brk id="187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tabSelected="1" view="pageBreakPreview" zoomScaleSheetLayoutView="100" workbookViewId="0" topLeftCell="A1">
      <selection activeCell="I93" sqref="I93"/>
    </sheetView>
  </sheetViews>
  <sheetFormatPr defaultColWidth="9.00390625" defaultRowHeight="12.75"/>
  <cols>
    <col min="1" max="1" width="5.875" style="0" customWidth="1"/>
    <col min="2" max="2" width="11.625" style="0" customWidth="1"/>
    <col min="3" max="3" width="10.625" style="0" customWidth="1"/>
    <col min="4" max="4" width="14.875" style="0" customWidth="1"/>
    <col min="5" max="5" width="0.12890625" style="0" hidden="1" customWidth="1"/>
    <col min="6" max="6" width="20.125" style="0" hidden="1" customWidth="1"/>
    <col min="7" max="7" width="0.12890625" style="0" hidden="1" customWidth="1"/>
    <col min="8" max="8" width="9.125" style="0" hidden="1" customWidth="1"/>
    <col min="9" max="9" width="13.625" style="0" customWidth="1"/>
    <col min="10" max="10" width="9.125" style="0" hidden="1" customWidth="1"/>
    <col min="11" max="11" width="13.875" style="0" customWidth="1"/>
    <col min="12" max="12" width="13.25390625" style="0" customWidth="1"/>
    <col min="13" max="13" width="7.625" style="0" customWidth="1"/>
    <col min="14" max="15" width="10.25390625" style="0" customWidth="1"/>
    <col min="17" max="17" width="10.375" style="0" customWidth="1"/>
    <col min="18" max="18" width="12.75390625" style="0" customWidth="1"/>
  </cols>
  <sheetData>
    <row r="1" ht="12.75">
      <c r="M1" s="8"/>
    </row>
    <row r="2" spans="9:18" ht="12.75">
      <c r="I2" s="244" t="s">
        <v>506</v>
      </c>
      <c r="J2" s="244"/>
      <c r="K2" s="244"/>
      <c r="L2" s="244"/>
      <c r="M2" s="244"/>
      <c r="N2" s="249"/>
      <c r="O2" s="244"/>
      <c r="P2" s="244"/>
      <c r="Q2" s="244"/>
      <c r="R2" s="244"/>
    </row>
    <row r="3" ht="12.75">
      <c r="N3" s="11"/>
    </row>
    <row r="4" spans="11:14" ht="12.75">
      <c r="K4" s="244" t="s">
        <v>467</v>
      </c>
      <c r="L4" s="244"/>
      <c r="M4" s="244"/>
      <c r="N4" s="11"/>
    </row>
    <row r="5" spans="12:18" ht="13.5" thickBot="1">
      <c r="L5" s="14"/>
      <c r="M5" s="14"/>
      <c r="N5" s="14"/>
      <c r="O5" s="14"/>
      <c r="P5" s="14"/>
      <c r="Q5" s="14"/>
      <c r="R5" s="14"/>
    </row>
    <row r="6" spans="1:18" ht="15.75" thickBot="1">
      <c r="A6" s="24"/>
      <c r="B6" s="24"/>
      <c r="C6" s="198" t="s">
        <v>334</v>
      </c>
      <c r="D6" s="201" t="s">
        <v>421</v>
      </c>
      <c r="E6" s="7" t="s">
        <v>143</v>
      </c>
      <c r="F6" s="24" t="s">
        <v>145</v>
      </c>
      <c r="G6" s="8" t="s">
        <v>115</v>
      </c>
      <c r="H6" s="19" t="s">
        <v>147</v>
      </c>
      <c r="I6" s="9"/>
      <c r="J6" s="9" t="s">
        <v>283</v>
      </c>
      <c r="K6" s="145" t="s">
        <v>538</v>
      </c>
      <c r="L6" s="145" t="s">
        <v>285</v>
      </c>
      <c r="M6" s="19" t="s">
        <v>424</v>
      </c>
      <c r="N6" s="203" t="s">
        <v>422</v>
      </c>
      <c r="O6" s="19" t="s">
        <v>428</v>
      </c>
      <c r="P6" s="205" t="s">
        <v>431</v>
      </c>
      <c r="Q6" s="205" t="s">
        <v>431</v>
      </c>
      <c r="R6" s="19" t="s">
        <v>464</v>
      </c>
    </row>
    <row r="7" spans="1:18" ht="15">
      <c r="A7" s="23"/>
      <c r="B7" s="23"/>
      <c r="C7" s="199" t="s">
        <v>142</v>
      </c>
      <c r="D7" s="199"/>
      <c r="E7" s="10"/>
      <c r="F7" s="23" t="s">
        <v>144</v>
      </c>
      <c r="G7" s="11" t="s">
        <v>116</v>
      </c>
      <c r="H7" s="17" t="s">
        <v>148</v>
      </c>
      <c r="I7" s="12" t="s">
        <v>116</v>
      </c>
      <c r="J7" s="12" t="s">
        <v>284</v>
      </c>
      <c r="K7" s="146" t="s">
        <v>284</v>
      </c>
      <c r="L7" s="146" t="s">
        <v>286</v>
      </c>
      <c r="M7" s="17" t="s">
        <v>425</v>
      </c>
      <c r="N7" s="202" t="s">
        <v>423</v>
      </c>
      <c r="O7" s="17" t="s">
        <v>429</v>
      </c>
      <c r="P7" s="205" t="s">
        <v>432</v>
      </c>
      <c r="Q7" s="205" t="s">
        <v>433</v>
      </c>
      <c r="R7" s="17" t="s">
        <v>465</v>
      </c>
    </row>
    <row r="8" spans="1:18" ht="15.75" thickBot="1">
      <c r="A8" s="25"/>
      <c r="B8" s="25"/>
      <c r="C8" s="25"/>
      <c r="D8" s="200"/>
      <c r="E8" s="13"/>
      <c r="F8" s="25"/>
      <c r="G8" s="14" t="s">
        <v>146</v>
      </c>
      <c r="H8" s="18" t="s">
        <v>135</v>
      </c>
      <c r="I8" s="18" t="s">
        <v>149</v>
      </c>
      <c r="J8" s="15" t="s">
        <v>331</v>
      </c>
      <c r="K8" s="252">
        <v>0.02</v>
      </c>
      <c r="L8" s="147" t="s">
        <v>576</v>
      </c>
      <c r="M8" s="14"/>
      <c r="N8" s="18" t="s">
        <v>430</v>
      </c>
      <c r="O8" s="18" t="s">
        <v>430</v>
      </c>
      <c r="P8" s="14"/>
      <c r="Q8" s="18" t="s">
        <v>466</v>
      </c>
      <c r="R8" s="18" t="s">
        <v>466</v>
      </c>
    </row>
    <row r="9" spans="1:18" ht="17.25" customHeight="1">
      <c r="A9" s="23">
        <v>1</v>
      </c>
      <c r="B9" s="23" t="s">
        <v>157</v>
      </c>
      <c r="C9" s="165" t="s">
        <v>333</v>
      </c>
      <c r="D9" s="196" t="s">
        <v>332</v>
      </c>
      <c r="E9" s="32">
        <v>130001010</v>
      </c>
      <c r="F9" s="33" t="s">
        <v>157</v>
      </c>
      <c r="G9" s="3">
        <v>578408</v>
      </c>
      <c r="H9" s="23">
        <v>1.27</v>
      </c>
      <c r="I9" s="265">
        <f aca="true" t="shared" si="0" ref="I9:I39">G9*H9</f>
        <v>734578.16</v>
      </c>
      <c r="J9" s="274">
        <f>176671.16+18600+18600+18600</f>
        <v>232471.16</v>
      </c>
      <c r="K9" s="274">
        <v>455438.46</v>
      </c>
      <c r="L9" s="267">
        <f aca="true" t="shared" si="1" ref="L9:L19">I9-K9</f>
        <v>279139.7</v>
      </c>
      <c r="M9" s="271">
        <v>136</v>
      </c>
      <c r="N9" s="3">
        <v>1987</v>
      </c>
      <c r="O9" s="204">
        <v>34845</v>
      </c>
      <c r="P9" s="12" t="s">
        <v>434</v>
      </c>
      <c r="Q9" s="12" t="s">
        <v>434</v>
      </c>
      <c r="R9" s="17" t="s">
        <v>438</v>
      </c>
    </row>
    <row r="10" spans="1:18" ht="16.5" customHeight="1">
      <c r="A10" s="23">
        <v>2</v>
      </c>
      <c r="B10" s="23" t="s">
        <v>158</v>
      </c>
      <c r="C10" s="165" t="s">
        <v>333</v>
      </c>
      <c r="D10" s="30" t="s">
        <v>335</v>
      </c>
      <c r="E10" s="32">
        <v>130001010</v>
      </c>
      <c r="F10" s="33" t="s">
        <v>158</v>
      </c>
      <c r="G10" s="3">
        <v>494703</v>
      </c>
      <c r="H10" s="23">
        <v>1.27</v>
      </c>
      <c r="I10" s="265">
        <f t="shared" si="0"/>
        <v>628272.81</v>
      </c>
      <c r="J10" s="275">
        <v>215146.81</v>
      </c>
      <c r="K10" s="265">
        <v>427225.51</v>
      </c>
      <c r="L10" s="267">
        <f t="shared" si="1"/>
        <v>201047.30000000005</v>
      </c>
      <c r="M10" s="271">
        <v>136</v>
      </c>
      <c r="N10" s="100">
        <v>1984</v>
      </c>
      <c r="O10" s="204">
        <v>34845</v>
      </c>
      <c r="P10" s="12" t="s">
        <v>434</v>
      </c>
      <c r="Q10" s="12" t="s">
        <v>434</v>
      </c>
      <c r="R10" s="17" t="s">
        <v>438</v>
      </c>
    </row>
    <row r="11" spans="1:18" ht="13.5" customHeight="1">
      <c r="A11" s="23">
        <v>3</v>
      </c>
      <c r="B11" s="23" t="s">
        <v>159</v>
      </c>
      <c r="C11" s="165" t="s">
        <v>333</v>
      </c>
      <c r="D11" s="26" t="s">
        <v>336</v>
      </c>
      <c r="E11" s="32">
        <v>130001010</v>
      </c>
      <c r="F11" s="33" t="s">
        <v>159</v>
      </c>
      <c r="G11" s="3">
        <v>68972</v>
      </c>
      <c r="H11" s="23">
        <v>1.27</v>
      </c>
      <c r="I11" s="265">
        <f t="shared" si="0"/>
        <v>87594.44</v>
      </c>
      <c r="J11" s="276">
        <f>42674.44+4488+4488+4488</f>
        <v>56138.44</v>
      </c>
      <c r="K11" s="265">
        <v>87594.44</v>
      </c>
      <c r="L11" s="267">
        <f t="shared" si="1"/>
        <v>0</v>
      </c>
      <c r="M11" s="271">
        <v>80</v>
      </c>
      <c r="N11" s="3">
        <v>1967</v>
      </c>
      <c r="O11" s="204">
        <v>34845</v>
      </c>
      <c r="P11" s="12" t="s">
        <v>434</v>
      </c>
      <c r="Q11" s="12" t="s">
        <v>434</v>
      </c>
      <c r="R11" s="17" t="s">
        <v>438</v>
      </c>
    </row>
    <row r="12" spans="1:18" ht="14.25" customHeight="1" thickBot="1">
      <c r="A12" s="23">
        <v>4</v>
      </c>
      <c r="B12" s="23" t="s">
        <v>160</v>
      </c>
      <c r="C12" s="165" t="s">
        <v>333</v>
      </c>
      <c r="D12" s="197" t="s">
        <v>337</v>
      </c>
      <c r="E12" s="32">
        <v>130001010</v>
      </c>
      <c r="F12" s="33" t="s">
        <v>160</v>
      </c>
      <c r="G12" s="3">
        <v>328027</v>
      </c>
      <c r="H12" s="23">
        <v>1.27</v>
      </c>
      <c r="I12" s="265">
        <f t="shared" si="0"/>
        <v>416594.29</v>
      </c>
      <c r="J12" s="277">
        <f>47806.29+13656+13656+13565</f>
        <v>88683.29000000001</v>
      </c>
      <c r="K12" s="265">
        <v>283284.12</v>
      </c>
      <c r="L12" s="267">
        <f t="shared" si="1"/>
        <v>133310.16999999998</v>
      </c>
      <c r="M12" s="271">
        <v>136</v>
      </c>
      <c r="N12" s="3">
        <v>1984</v>
      </c>
      <c r="O12" s="204">
        <v>34845</v>
      </c>
      <c r="P12" s="12" t="s">
        <v>434</v>
      </c>
      <c r="Q12" s="12" t="s">
        <v>434</v>
      </c>
      <c r="R12" s="17" t="s">
        <v>438</v>
      </c>
    </row>
    <row r="13" spans="1:18" ht="15" customHeight="1">
      <c r="A13" s="23">
        <v>5</v>
      </c>
      <c r="B13" s="23" t="s">
        <v>162</v>
      </c>
      <c r="C13" s="165" t="s">
        <v>333</v>
      </c>
      <c r="D13" s="26" t="s">
        <v>338</v>
      </c>
      <c r="E13" s="32">
        <v>130001010</v>
      </c>
      <c r="F13" s="33" t="s">
        <v>162</v>
      </c>
      <c r="G13" s="3">
        <v>68972</v>
      </c>
      <c r="H13" s="23">
        <v>1.27</v>
      </c>
      <c r="I13" s="265">
        <f t="shared" si="0"/>
        <v>87594.44</v>
      </c>
      <c r="J13" s="266">
        <f>42674.44+4488+4488+4488</f>
        <v>56138.44</v>
      </c>
      <c r="K13" s="265">
        <v>87594.44</v>
      </c>
      <c r="L13" s="267">
        <f t="shared" si="1"/>
        <v>0</v>
      </c>
      <c r="M13" s="271">
        <v>80</v>
      </c>
      <c r="N13" s="3">
        <v>1967</v>
      </c>
      <c r="O13" s="204">
        <v>34845</v>
      </c>
      <c r="P13" s="12" t="s">
        <v>434</v>
      </c>
      <c r="Q13" s="12" t="s">
        <v>434</v>
      </c>
      <c r="R13" s="17" t="s">
        <v>438</v>
      </c>
    </row>
    <row r="14" spans="1:18" ht="15.75" customHeight="1">
      <c r="A14" s="23">
        <v>6</v>
      </c>
      <c r="B14" s="23" t="s">
        <v>163</v>
      </c>
      <c r="C14" s="165" t="s">
        <v>333</v>
      </c>
      <c r="D14" s="30" t="s">
        <v>339</v>
      </c>
      <c r="E14" s="32">
        <v>130001010</v>
      </c>
      <c r="F14" s="33" t="s">
        <v>163</v>
      </c>
      <c r="G14" s="3">
        <v>454371</v>
      </c>
      <c r="H14" s="23">
        <v>1.27</v>
      </c>
      <c r="I14" s="265">
        <f t="shared" si="0"/>
        <v>577051.17</v>
      </c>
      <c r="J14" s="265">
        <f>154422.17+16260+16260+16260</f>
        <v>203202.17</v>
      </c>
      <c r="K14" s="265">
        <v>403935.82</v>
      </c>
      <c r="L14" s="267">
        <f t="shared" si="1"/>
        <v>173115.35000000003</v>
      </c>
      <c r="M14" s="271">
        <v>136</v>
      </c>
      <c r="N14" s="3">
        <v>1983</v>
      </c>
      <c r="O14" s="204">
        <v>34845</v>
      </c>
      <c r="P14" s="12" t="s">
        <v>434</v>
      </c>
      <c r="Q14" s="12" t="s">
        <v>434</v>
      </c>
      <c r="R14" s="17" t="s">
        <v>438</v>
      </c>
    </row>
    <row r="15" spans="1:18" ht="14.25" customHeight="1">
      <c r="A15" s="23">
        <v>7</v>
      </c>
      <c r="B15" s="23" t="s">
        <v>164</v>
      </c>
      <c r="C15" s="165" t="s">
        <v>333</v>
      </c>
      <c r="D15" s="29" t="s">
        <v>340</v>
      </c>
      <c r="E15" s="32">
        <v>130001010</v>
      </c>
      <c r="F15" s="33" t="s">
        <v>164</v>
      </c>
      <c r="G15" s="3">
        <v>68972</v>
      </c>
      <c r="H15" s="23">
        <v>1.27</v>
      </c>
      <c r="I15" s="265">
        <f t="shared" si="0"/>
        <v>87594.44</v>
      </c>
      <c r="J15" s="266">
        <f>42674.44+4488+4488+4488</f>
        <v>56138.44</v>
      </c>
      <c r="K15" s="265">
        <v>87594.44</v>
      </c>
      <c r="L15" s="267">
        <f t="shared" si="1"/>
        <v>0</v>
      </c>
      <c r="M15" s="271">
        <v>80</v>
      </c>
      <c r="N15" s="3">
        <v>1967</v>
      </c>
      <c r="O15" s="204">
        <v>34845</v>
      </c>
      <c r="P15" s="12" t="s">
        <v>434</v>
      </c>
      <c r="Q15" s="12" t="s">
        <v>434</v>
      </c>
      <c r="R15" s="17" t="s">
        <v>438</v>
      </c>
    </row>
    <row r="16" spans="1:18" ht="13.5" customHeight="1">
      <c r="A16" s="23">
        <v>8</v>
      </c>
      <c r="B16" s="23" t="s">
        <v>166</v>
      </c>
      <c r="C16" s="165" t="s">
        <v>333</v>
      </c>
      <c r="D16" s="30" t="s">
        <v>341</v>
      </c>
      <c r="E16" s="32">
        <v>130001010</v>
      </c>
      <c r="F16" s="33" t="s">
        <v>166</v>
      </c>
      <c r="G16" s="3">
        <v>418640</v>
      </c>
      <c r="H16" s="23">
        <v>1.27</v>
      </c>
      <c r="I16" s="265">
        <f t="shared" si="0"/>
        <v>531672.8</v>
      </c>
      <c r="J16" s="278">
        <f>146402.8+15408+15408+15408</f>
        <v>192626.8</v>
      </c>
      <c r="K16" s="265">
        <v>382804.42</v>
      </c>
      <c r="L16" s="267">
        <f t="shared" si="1"/>
        <v>148868.38000000006</v>
      </c>
      <c r="M16" s="271">
        <v>136</v>
      </c>
      <c r="N16" s="3">
        <v>1982</v>
      </c>
      <c r="O16" s="204">
        <v>34845</v>
      </c>
      <c r="P16" s="12" t="s">
        <v>434</v>
      </c>
      <c r="Q16" s="12" t="s">
        <v>434</v>
      </c>
      <c r="R16" s="17" t="s">
        <v>438</v>
      </c>
    </row>
    <row r="17" spans="1:18" ht="12.75" customHeight="1">
      <c r="A17" s="23">
        <v>9</v>
      </c>
      <c r="B17" s="23" t="s">
        <v>161</v>
      </c>
      <c r="C17" s="165" t="s">
        <v>333</v>
      </c>
      <c r="D17" s="26" t="s">
        <v>562</v>
      </c>
      <c r="E17" s="32">
        <v>130001010</v>
      </c>
      <c r="F17" s="33" t="s">
        <v>161</v>
      </c>
      <c r="G17" s="3">
        <v>68895</v>
      </c>
      <c r="H17" s="23">
        <v>1.27</v>
      </c>
      <c r="I17" s="265">
        <f t="shared" si="0"/>
        <v>87496.65</v>
      </c>
      <c r="J17" s="266">
        <f>44930.65+4728+4728+4728</f>
        <v>59114.65</v>
      </c>
      <c r="K17" s="265">
        <v>87496.65</v>
      </c>
      <c r="L17" s="267">
        <f t="shared" si="1"/>
        <v>0</v>
      </c>
      <c r="M17" s="271">
        <v>80</v>
      </c>
      <c r="N17" s="3">
        <v>1966</v>
      </c>
      <c r="O17" s="204">
        <v>34845</v>
      </c>
      <c r="P17" s="12" t="s">
        <v>434</v>
      </c>
      <c r="Q17" s="12" t="s">
        <v>434</v>
      </c>
      <c r="R17" s="17" t="s">
        <v>438</v>
      </c>
    </row>
    <row r="18" spans="1:18" ht="14.25" customHeight="1">
      <c r="A18" s="23">
        <v>10</v>
      </c>
      <c r="B18" s="23" t="s">
        <v>167</v>
      </c>
      <c r="C18" s="165" t="s">
        <v>333</v>
      </c>
      <c r="D18" s="29" t="s">
        <v>342</v>
      </c>
      <c r="E18" s="32">
        <v>130001010</v>
      </c>
      <c r="F18" s="33" t="s">
        <v>167</v>
      </c>
      <c r="G18" s="3">
        <v>305080</v>
      </c>
      <c r="H18" s="23">
        <v>1.27</v>
      </c>
      <c r="I18" s="265">
        <f t="shared" si="0"/>
        <v>387451.6</v>
      </c>
      <c r="J18" s="266">
        <f>116849.6+12300+12300+12300</f>
        <v>153749.6</v>
      </c>
      <c r="K18" s="265">
        <v>302273.09</v>
      </c>
      <c r="L18" s="267">
        <f t="shared" si="1"/>
        <v>85178.50999999995</v>
      </c>
      <c r="M18" s="271">
        <v>136</v>
      </c>
      <c r="N18" s="3">
        <v>1979</v>
      </c>
      <c r="O18" s="204">
        <v>34845</v>
      </c>
      <c r="P18" s="12" t="s">
        <v>434</v>
      </c>
      <c r="Q18" s="12" t="s">
        <v>434</v>
      </c>
      <c r="R18" s="17" t="s">
        <v>438</v>
      </c>
    </row>
    <row r="19" spans="1:18" ht="14.25" customHeight="1">
      <c r="A19" s="23">
        <v>11</v>
      </c>
      <c r="B19" s="23" t="s">
        <v>168</v>
      </c>
      <c r="C19" s="165" t="s">
        <v>333</v>
      </c>
      <c r="D19" s="30" t="s">
        <v>343</v>
      </c>
      <c r="E19" s="32">
        <v>130001010</v>
      </c>
      <c r="F19" s="33" t="s">
        <v>168</v>
      </c>
      <c r="G19" s="3">
        <v>68895</v>
      </c>
      <c r="H19" s="23">
        <v>1.27</v>
      </c>
      <c r="I19" s="265">
        <f t="shared" si="0"/>
        <v>87496.65</v>
      </c>
      <c r="J19" s="265">
        <f>44930.65+4728+4728+4728</f>
        <v>59114.65</v>
      </c>
      <c r="K19" s="265">
        <v>87496.65</v>
      </c>
      <c r="L19" s="267">
        <f t="shared" si="1"/>
        <v>0</v>
      </c>
      <c r="M19" s="271">
        <v>80</v>
      </c>
      <c r="N19" s="3">
        <v>1966</v>
      </c>
      <c r="O19" s="204">
        <v>34845</v>
      </c>
      <c r="P19" s="12" t="s">
        <v>434</v>
      </c>
      <c r="Q19" s="12" t="s">
        <v>434</v>
      </c>
      <c r="R19" s="17" t="s">
        <v>438</v>
      </c>
    </row>
    <row r="20" spans="1:18" ht="15" customHeight="1">
      <c r="A20" s="23">
        <v>12</v>
      </c>
      <c r="B20" s="23" t="s">
        <v>169</v>
      </c>
      <c r="C20" s="165" t="s">
        <v>333</v>
      </c>
      <c r="D20" s="26" t="s">
        <v>344</v>
      </c>
      <c r="E20" s="32">
        <v>130001010</v>
      </c>
      <c r="F20" s="33" t="s">
        <v>169</v>
      </c>
      <c r="G20" s="3">
        <v>286175</v>
      </c>
      <c r="H20" s="23">
        <v>1.27</v>
      </c>
      <c r="I20" s="265">
        <f t="shared" si="0"/>
        <v>363442.25</v>
      </c>
      <c r="J20" s="266">
        <f>109609.25+11532+11532+11532</f>
        <v>144205.25</v>
      </c>
      <c r="K20" s="265">
        <v>283484.96</v>
      </c>
      <c r="L20" s="267">
        <f>I20-K20</f>
        <v>79957.28999999998</v>
      </c>
      <c r="M20" s="271">
        <v>136</v>
      </c>
      <c r="N20" s="3">
        <v>1979</v>
      </c>
      <c r="O20" s="204">
        <v>34845</v>
      </c>
      <c r="P20" s="12" t="s">
        <v>434</v>
      </c>
      <c r="Q20" s="12" t="s">
        <v>434</v>
      </c>
      <c r="R20" s="17" t="s">
        <v>438</v>
      </c>
    </row>
    <row r="21" spans="1:18" ht="15.75" customHeight="1">
      <c r="A21" s="23">
        <v>13</v>
      </c>
      <c r="B21" s="23" t="s">
        <v>170</v>
      </c>
      <c r="C21" s="165" t="s">
        <v>333</v>
      </c>
      <c r="D21" s="26" t="s">
        <v>345</v>
      </c>
      <c r="E21" s="32">
        <v>130001010</v>
      </c>
      <c r="F21" s="33" t="s">
        <v>170</v>
      </c>
      <c r="G21" s="3">
        <v>249300</v>
      </c>
      <c r="H21" s="23">
        <v>1.27</v>
      </c>
      <c r="I21" s="265">
        <f t="shared" si="0"/>
        <v>316611</v>
      </c>
      <c r="J21" s="266">
        <f>101960+10728+10728+10728</f>
        <v>134144</v>
      </c>
      <c r="K21" s="265">
        <v>259621.02</v>
      </c>
      <c r="L21" s="267">
        <f>I21-K21</f>
        <v>56989.98000000001</v>
      </c>
      <c r="M21" s="271">
        <v>136</v>
      </c>
      <c r="N21" s="3">
        <v>1977</v>
      </c>
      <c r="O21" s="204">
        <v>34845</v>
      </c>
      <c r="P21" s="12" t="s">
        <v>434</v>
      </c>
      <c r="Q21" s="12" t="s">
        <v>434</v>
      </c>
      <c r="R21" s="17" t="s">
        <v>438</v>
      </c>
    </row>
    <row r="22" spans="1:18" ht="15.75" customHeight="1">
      <c r="A22" s="23">
        <v>14</v>
      </c>
      <c r="B22" s="23" t="s">
        <v>172</v>
      </c>
      <c r="C22" s="165" t="s">
        <v>333</v>
      </c>
      <c r="D22" s="26" t="s">
        <v>346</v>
      </c>
      <c r="E22" s="32">
        <v>130001010</v>
      </c>
      <c r="F22" s="33" t="s">
        <v>172</v>
      </c>
      <c r="G22" s="3">
        <v>68972</v>
      </c>
      <c r="H22" s="23">
        <v>1.27</v>
      </c>
      <c r="I22" s="265">
        <f t="shared" si="0"/>
        <v>87594.44</v>
      </c>
      <c r="J22" s="266">
        <f>42674.44+4488+4488+4488</f>
        <v>56138.44</v>
      </c>
      <c r="K22" s="265">
        <v>87594.44</v>
      </c>
      <c r="L22" s="267">
        <f>I22-K22</f>
        <v>0</v>
      </c>
      <c r="M22" s="271">
        <v>80</v>
      </c>
      <c r="N22" s="3">
        <v>1967</v>
      </c>
      <c r="O22" s="204">
        <v>34845</v>
      </c>
      <c r="P22" s="12" t="s">
        <v>434</v>
      </c>
      <c r="Q22" s="12" t="s">
        <v>434</v>
      </c>
      <c r="R22" s="17" t="s">
        <v>438</v>
      </c>
    </row>
    <row r="23" spans="1:18" ht="15.75" customHeight="1">
      <c r="A23" s="23">
        <v>15</v>
      </c>
      <c r="B23" s="23" t="s">
        <v>174</v>
      </c>
      <c r="C23" s="165" t="s">
        <v>333</v>
      </c>
      <c r="D23" s="26" t="s">
        <v>347</v>
      </c>
      <c r="E23" s="32">
        <v>130001010</v>
      </c>
      <c r="F23" s="33" t="s">
        <v>174</v>
      </c>
      <c r="G23" s="3">
        <v>69045</v>
      </c>
      <c r="H23" s="23">
        <v>1.27</v>
      </c>
      <c r="I23" s="265">
        <f t="shared" si="0"/>
        <v>87687.15</v>
      </c>
      <c r="J23" s="278">
        <f>40636.15+4272+4272+4272</f>
        <v>53452.15</v>
      </c>
      <c r="K23" s="265">
        <v>87687.15</v>
      </c>
      <c r="L23" s="267">
        <f>I23-K23</f>
        <v>0</v>
      </c>
      <c r="M23" s="271">
        <v>80</v>
      </c>
      <c r="N23" s="3">
        <v>1968</v>
      </c>
      <c r="O23" s="204">
        <v>34845</v>
      </c>
      <c r="P23" s="12" t="s">
        <v>434</v>
      </c>
      <c r="Q23" s="12" t="s">
        <v>434</v>
      </c>
      <c r="R23" s="17" t="s">
        <v>438</v>
      </c>
    </row>
    <row r="24" spans="1:18" ht="15.75" customHeight="1">
      <c r="A24" s="23">
        <v>16</v>
      </c>
      <c r="B24" s="23" t="s">
        <v>175</v>
      </c>
      <c r="C24" s="165" t="s">
        <v>333</v>
      </c>
      <c r="D24" s="30" t="s">
        <v>348</v>
      </c>
      <c r="E24" s="32">
        <v>130001010</v>
      </c>
      <c r="F24" s="33" t="s">
        <v>175</v>
      </c>
      <c r="G24" s="3">
        <v>68972</v>
      </c>
      <c r="H24" s="23">
        <v>1.27</v>
      </c>
      <c r="I24" s="265">
        <f t="shared" si="0"/>
        <v>87594.44</v>
      </c>
      <c r="J24" s="266">
        <f>42674.44+4488+4488+4488</f>
        <v>56138.44</v>
      </c>
      <c r="K24" s="265">
        <v>87594.44</v>
      </c>
      <c r="L24" s="267">
        <f>I24-K24</f>
        <v>0</v>
      </c>
      <c r="M24" s="271">
        <v>80</v>
      </c>
      <c r="N24" s="3">
        <v>1967</v>
      </c>
      <c r="O24" s="204">
        <v>34845</v>
      </c>
      <c r="P24" s="12" t="s">
        <v>434</v>
      </c>
      <c r="Q24" s="12" t="s">
        <v>434</v>
      </c>
      <c r="R24" s="17" t="s">
        <v>438</v>
      </c>
    </row>
    <row r="25" spans="1:18" ht="15" customHeight="1">
      <c r="A25" s="23">
        <v>17</v>
      </c>
      <c r="B25" s="23" t="s">
        <v>185</v>
      </c>
      <c r="C25" s="165" t="s">
        <v>333</v>
      </c>
      <c r="D25" s="26" t="s">
        <v>349</v>
      </c>
      <c r="E25" s="32">
        <v>130001010</v>
      </c>
      <c r="F25" s="33" t="s">
        <v>176</v>
      </c>
      <c r="G25" s="3">
        <v>67564</v>
      </c>
      <c r="H25" s="23">
        <v>1.27</v>
      </c>
      <c r="I25" s="265">
        <f t="shared" si="0"/>
        <v>85806.28</v>
      </c>
      <c r="J25" s="266">
        <f>44063.28+4644+4644+4644</f>
        <v>57995.28</v>
      </c>
      <c r="K25" s="265">
        <v>85806.28</v>
      </c>
      <c r="L25" s="267">
        <v>0</v>
      </c>
      <c r="M25" s="271">
        <v>84</v>
      </c>
      <c r="N25" s="3">
        <v>1960</v>
      </c>
      <c r="O25" s="204">
        <v>34845</v>
      </c>
      <c r="P25" s="12" t="s">
        <v>434</v>
      </c>
      <c r="Q25" s="12" t="s">
        <v>434</v>
      </c>
      <c r="R25" s="17" t="s">
        <v>438</v>
      </c>
    </row>
    <row r="26" spans="1:18" ht="16.5" customHeight="1">
      <c r="A26" s="23">
        <v>18</v>
      </c>
      <c r="B26" s="23" t="s">
        <v>177</v>
      </c>
      <c r="C26" s="165" t="s">
        <v>333</v>
      </c>
      <c r="D26" s="30" t="s">
        <v>350</v>
      </c>
      <c r="E26" s="32">
        <v>130001010</v>
      </c>
      <c r="F26" s="33" t="s">
        <v>177</v>
      </c>
      <c r="G26" s="3">
        <v>54824</v>
      </c>
      <c r="H26" s="23">
        <v>1.27</v>
      </c>
      <c r="I26" s="265">
        <f t="shared" si="0"/>
        <v>69626.48</v>
      </c>
      <c r="J26" s="266">
        <f>42674.48+4488+4488+4488</f>
        <v>56138.48</v>
      </c>
      <c r="K26" s="265">
        <v>69626.48</v>
      </c>
      <c r="L26" s="267">
        <v>0</v>
      </c>
      <c r="M26" s="271">
        <v>80</v>
      </c>
      <c r="N26" s="3">
        <v>1963</v>
      </c>
      <c r="O26" s="204">
        <v>34845</v>
      </c>
      <c r="P26" s="12" t="s">
        <v>434</v>
      </c>
      <c r="Q26" s="12" t="s">
        <v>434</v>
      </c>
      <c r="R26" s="17" t="s">
        <v>438</v>
      </c>
    </row>
    <row r="27" spans="1:18" ht="14.25" customHeight="1">
      <c r="A27" s="23">
        <v>19</v>
      </c>
      <c r="B27" s="23" t="s">
        <v>178</v>
      </c>
      <c r="C27" s="165" t="s">
        <v>333</v>
      </c>
      <c r="D27" s="26" t="s">
        <v>351</v>
      </c>
      <c r="E27" s="32">
        <v>130001010</v>
      </c>
      <c r="F27" s="33" t="s">
        <v>178</v>
      </c>
      <c r="G27" s="3">
        <v>52204</v>
      </c>
      <c r="H27" s="23">
        <v>1.27</v>
      </c>
      <c r="I27" s="265">
        <f t="shared" si="0"/>
        <v>66299.08</v>
      </c>
      <c r="J27" s="266">
        <f>40635.08+4272+4272+4272</f>
        <v>53451.08</v>
      </c>
      <c r="K27" s="265">
        <v>66299.08</v>
      </c>
      <c r="L27" s="267">
        <v>0</v>
      </c>
      <c r="M27" s="271">
        <v>80</v>
      </c>
      <c r="N27" s="3">
        <v>1963</v>
      </c>
      <c r="O27" s="204">
        <v>34845</v>
      </c>
      <c r="P27" s="12" t="s">
        <v>434</v>
      </c>
      <c r="Q27" s="12" t="s">
        <v>434</v>
      </c>
      <c r="R27" s="17" t="s">
        <v>438</v>
      </c>
    </row>
    <row r="28" spans="1:18" ht="16.5" customHeight="1">
      <c r="A28" s="23">
        <v>20</v>
      </c>
      <c r="B28" s="23" t="s">
        <v>578</v>
      </c>
      <c r="C28" s="165" t="s">
        <v>333</v>
      </c>
      <c r="D28" s="30" t="s">
        <v>563</v>
      </c>
      <c r="E28" s="32">
        <v>130001010</v>
      </c>
      <c r="F28" s="33" t="s">
        <v>179</v>
      </c>
      <c r="G28" s="3">
        <v>115668</v>
      </c>
      <c r="H28" s="23">
        <v>1.27</v>
      </c>
      <c r="I28" s="265">
        <f t="shared" si="0"/>
        <v>146898.36000000002</v>
      </c>
      <c r="J28" s="266">
        <f>84578.36+8904+8904+8904</f>
        <v>111290.36</v>
      </c>
      <c r="K28" s="265">
        <v>146898.36</v>
      </c>
      <c r="L28" s="267">
        <v>0</v>
      </c>
      <c r="M28" s="271">
        <v>162</v>
      </c>
      <c r="N28" s="3">
        <v>1964</v>
      </c>
      <c r="O28" s="204">
        <v>34845</v>
      </c>
      <c r="P28" s="12" t="s">
        <v>434</v>
      </c>
      <c r="Q28" s="12" t="s">
        <v>434</v>
      </c>
      <c r="R28" s="17" t="s">
        <v>438</v>
      </c>
    </row>
    <row r="29" spans="1:18" ht="18" customHeight="1">
      <c r="A29" s="23">
        <v>21</v>
      </c>
      <c r="B29" s="23" t="s">
        <v>180</v>
      </c>
      <c r="C29" s="165" t="s">
        <v>333</v>
      </c>
      <c r="D29" s="29" t="s">
        <v>352</v>
      </c>
      <c r="E29" s="32">
        <v>130001010</v>
      </c>
      <c r="F29" s="33" t="s">
        <v>180</v>
      </c>
      <c r="G29" s="3">
        <v>67564</v>
      </c>
      <c r="H29" s="23">
        <v>1.27</v>
      </c>
      <c r="I29" s="265">
        <f t="shared" si="0"/>
        <v>85806.28</v>
      </c>
      <c r="J29" s="266">
        <f>44063.28+4644+4644+4644</f>
        <v>57995.28</v>
      </c>
      <c r="K29" s="265">
        <v>85806.28</v>
      </c>
      <c r="L29" s="267">
        <f>I29-K29</f>
        <v>0</v>
      </c>
      <c r="M29" s="271">
        <v>84</v>
      </c>
      <c r="N29" s="3">
        <v>1966</v>
      </c>
      <c r="O29" s="204">
        <v>34845</v>
      </c>
      <c r="P29" s="12" t="s">
        <v>434</v>
      </c>
      <c r="Q29" s="12" t="s">
        <v>434</v>
      </c>
      <c r="R29" s="17" t="s">
        <v>438</v>
      </c>
    </row>
    <row r="30" spans="1:18" ht="16.5" customHeight="1">
      <c r="A30" s="23">
        <v>22</v>
      </c>
      <c r="B30" s="23" t="s">
        <v>181</v>
      </c>
      <c r="C30" s="165" t="s">
        <v>333</v>
      </c>
      <c r="D30" s="30" t="s">
        <v>353</v>
      </c>
      <c r="E30" s="32">
        <v>130001010</v>
      </c>
      <c r="F30" s="33" t="s">
        <v>181</v>
      </c>
      <c r="G30" s="3">
        <v>54824</v>
      </c>
      <c r="H30" s="23">
        <v>1.27</v>
      </c>
      <c r="I30" s="265">
        <f t="shared" si="0"/>
        <v>69626.48</v>
      </c>
      <c r="J30" s="266">
        <f>42674.48+4488+4488+4488</f>
        <v>56138.48</v>
      </c>
      <c r="K30" s="265">
        <v>69626.48</v>
      </c>
      <c r="L30" s="267">
        <v>0</v>
      </c>
      <c r="M30" s="271">
        <v>80</v>
      </c>
      <c r="N30" s="3">
        <v>1963</v>
      </c>
      <c r="O30" s="204">
        <v>34845</v>
      </c>
      <c r="P30" s="12" t="s">
        <v>434</v>
      </c>
      <c r="Q30" s="12" t="s">
        <v>434</v>
      </c>
      <c r="R30" s="17" t="s">
        <v>438</v>
      </c>
    </row>
    <row r="31" spans="1:18" ht="16.5" customHeight="1">
      <c r="A31" s="23">
        <v>23</v>
      </c>
      <c r="B31" s="23" t="s">
        <v>182</v>
      </c>
      <c r="C31" s="165" t="s">
        <v>333</v>
      </c>
      <c r="D31" s="29" t="s">
        <v>354</v>
      </c>
      <c r="E31" s="32">
        <v>130001010</v>
      </c>
      <c r="F31" s="33" t="s">
        <v>182</v>
      </c>
      <c r="G31" s="3">
        <v>442305</v>
      </c>
      <c r="H31" s="23">
        <v>1.27</v>
      </c>
      <c r="I31" s="265">
        <f t="shared" si="0"/>
        <v>561727.35</v>
      </c>
      <c r="J31" s="266">
        <f>193418.35+23016+23016+23016</f>
        <v>262466.35</v>
      </c>
      <c r="K31" s="265">
        <v>505554.62</v>
      </c>
      <c r="L31" s="267">
        <f>I31-K31</f>
        <v>56172.72999999998</v>
      </c>
      <c r="M31" s="271">
        <v>136</v>
      </c>
      <c r="N31" s="3">
        <v>1973</v>
      </c>
      <c r="O31" s="204">
        <v>34845</v>
      </c>
      <c r="P31" s="12" t="s">
        <v>434</v>
      </c>
      <c r="Q31" s="12" t="s">
        <v>434</v>
      </c>
      <c r="R31" s="17" t="s">
        <v>438</v>
      </c>
    </row>
    <row r="32" spans="1:18" ht="15.75" customHeight="1">
      <c r="A32" s="23">
        <v>24</v>
      </c>
      <c r="B32" s="23" t="s">
        <v>183</v>
      </c>
      <c r="C32" s="165" t="s">
        <v>333</v>
      </c>
      <c r="D32" s="26" t="s">
        <v>355</v>
      </c>
      <c r="E32" s="32">
        <v>130001010</v>
      </c>
      <c r="F32" s="33" t="s">
        <v>183</v>
      </c>
      <c r="G32" s="3">
        <v>68972</v>
      </c>
      <c r="H32" s="23">
        <v>1.27</v>
      </c>
      <c r="I32" s="265">
        <f t="shared" si="0"/>
        <v>87594.44</v>
      </c>
      <c r="J32" s="266">
        <f>42674.44+4488+4488+4488</f>
        <v>56138.44</v>
      </c>
      <c r="K32" s="265">
        <v>87594.44</v>
      </c>
      <c r="L32" s="267">
        <f>I32-K32</f>
        <v>0</v>
      </c>
      <c r="M32" s="271">
        <v>80</v>
      </c>
      <c r="N32" s="3">
        <v>1967</v>
      </c>
      <c r="O32" s="204">
        <v>34845</v>
      </c>
      <c r="P32" s="12" t="s">
        <v>434</v>
      </c>
      <c r="Q32" s="12" t="s">
        <v>434</v>
      </c>
      <c r="R32" s="17" t="s">
        <v>438</v>
      </c>
    </row>
    <row r="33" spans="1:18" ht="16.5" customHeight="1">
      <c r="A33" s="23">
        <v>25</v>
      </c>
      <c r="B33" s="23" t="s">
        <v>184</v>
      </c>
      <c r="C33" s="165" t="s">
        <v>333</v>
      </c>
      <c r="D33" s="30" t="s">
        <v>564</v>
      </c>
      <c r="E33" s="32">
        <v>130001010</v>
      </c>
      <c r="F33" s="33" t="s">
        <v>184</v>
      </c>
      <c r="G33" s="3">
        <v>122662</v>
      </c>
      <c r="H33" s="23">
        <v>1.27</v>
      </c>
      <c r="I33" s="265">
        <f t="shared" si="0"/>
        <v>155780.74</v>
      </c>
      <c r="J33" s="266">
        <v>111269.74</v>
      </c>
      <c r="K33" s="265">
        <v>155780.74</v>
      </c>
      <c r="L33" s="267">
        <v>0</v>
      </c>
      <c r="M33" s="271">
        <v>136</v>
      </c>
      <c r="N33" s="100">
        <v>1965</v>
      </c>
      <c r="O33" s="204">
        <v>34845</v>
      </c>
      <c r="P33" s="12" t="s">
        <v>434</v>
      </c>
      <c r="Q33" s="12" t="s">
        <v>434</v>
      </c>
      <c r="R33" s="17" t="s">
        <v>438</v>
      </c>
    </row>
    <row r="34" spans="1:18" ht="17.25" customHeight="1">
      <c r="A34" s="23">
        <v>26</v>
      </c>
      <c r="B34" s="23" t="s">
        <v>176</v>
      </c>
      <c r="C34" s="165" t="s">
        <v>333</v>
      </c>
      <c r="D34" s="30" t="s">
        <v>356</v>
      </c>
      <c r="E34" s="32">
        <v>130001010</v>
      </c>
      <c r="F34" s="33" t="s">
        <v>185</v>
      </c>
      <c r="G34" s="3">
        <v>67564</v>
      </c>
      <c r="H34" s="23">
        <v>1.27</v>
      </c>
      <c r="I34" s="265">
        <f t="shared" si="0"/>
        <v>85806.28</v>
      </c>
      <c r="J34" s="266">
        <f>44072.28+4632+4632+4632</f>
        <v>57968.28</v>
      </c>
      <c r="K34" s="265">
        <v>85806.28</v>
      </c>
      <c r="L34" s="267">
        <f>I34-K34</f>
        <v>0</v>
      </c>
      <c r="M34" s="271">
        <v>80</v>
      </c>
      <c r="N34" s="3">
        <v>1966</v>
      </c>
      <c r="O34" s="204">
        <v>34845</v>
      </c>
      <c r="P34" s="12" t="s">
        <v>434</v>
      </c>
      <c r="Q34" s="12" t="s">
        <v>434</v>
      </c>
      <c r="R34" s="17" t="s">
        <v>438</v>
      </c>
    </row>
    <row r="35" spans="1:18" ht="15" customHeight="1">
      <c r="A35" s="23">
        <v>27</v>
      </c>
      <c r="B35" s="23" t="s">
        <v>186</v>
      </c>
      <c r="C35" s="165" t="s">
        <v>333</v>
      </c>
      <c r="D35" s="29" t="s">
        <v>357</v>
      </c>
      <c r="E35" s="32">
        <v>130001010</v>
      </c>
      <c r="F35" s="33" t="s">
        <v>186</v>
      </c>
      <c r="G35" s="3">
        <v>88220</v>
      </c>
      <c r="H35" s="23">
        <v>1.27</v>
      </c>
      <c r="I35" s="265">
        <f t="shared" si="0"/>
        <v>112039.40000000001</v>
      </c>
      <c r="J35" s="266">
        <f>78842.4+8304+8304+8304</f>
        <v>103754.4</v>
      </c>
      <c r="K35" s="265">
        <v>112039.4</v>
      </c>
      <c r="L35" s="267">
        <v>0</v>
      </c>
      <c r="M35" s="271">
        <v>114</v>
      </c>
      <c r="N35" s="3">
        <v>1961</v>
      </c>
      <c r="O35" s="204">
        <v>34845</v>
      </c>
      <c r="P35" s="12" t="s">
        <v>434</v>
      </c>
      <c r="Q35" s="12" t="s">
        <v>434</v>
      </c>
      <c r="R35" s="17" t="s">
        <v>438</v>
      </c>
    </row>
    <row r="36" spans="1:18" ht="15.75" customHeight="1">
      <c r="A36" s="23">
        <v>28</v>
      </c>
      <c r="B36" s="23" t="s">
        <v>187</v>
      </c>
      <c r="C36" s="165" t="s">
        <v>333</v>
      </c>
      <c r="D36" s="30" t="s">
        <v>358</v>
      </c>
      <c r="E36" s="32">
        <v>130001010</v>
      </c>
      <c r="F36" s="33" t="s">
        <v>187</v>
      </c>
      <c r="G36" s="3">
        <v>51287</v>
      </c>
      <c r="H36" s="23">
        <v>1.27</v>
      </c>
      <c r="I36" s="265">
        <f t="shared" si="0"/>
        <v>65134.49</v>
      </c>
      <c r="J36" s="266">
        <f>42674.49+4488+4488+4488</f>
        <v>56138.49</v>
      </c>
      <c r="K36" s="265">
        <v>65134.49</v>
      </c>
      <c r="L36" s="267">
        <v>0</v>
      </c>
      <c r="M36" s="271">
        <v>80</v>
      </c>
      <c r="N36" s="3">
        <v>1962</v>
      </c>
      <c r="O36" s="204">
        <v>34845</v>
      </c>
      <c r="P36" s="12" t="s">
        <v>434</v>
      </c>
      <c r="Q36" s="12" t="s">
        <v>434</v>
      </c>
      <c r="R36" s="17" t="s">
        <v>438</v>
      </c>
    </row>
    <row r="37" spans="1:18" ht="17.25" customHeight="1">
      <c r="A37" s="23">
        <v>29</v>
      </c>
      <c r="B37" s="23" t="s">
        <v>190</v>
      </c>
      <c r="C37" s="165" t="s">
        <v>333</v>
      </c>
      <c r="D37" s="26" t="s">
        <v>359</v>
      </c>
      <c r="E37" s="32">
        <v>130001010</v>
      </c>
      <c r="F37" s="33" t="s">
        <v>188</v>
      </c>
      <c r="G37" s="3">
        <v>51287</v>
      </c>
      <c r="H37" s="23">
        <v>1.27</v>
      </c>
      <c r="I37" s="265">
        <f t="shared" si="0"/>
        <v>65134.49</v>
      </c>
      <c r="J37" s="266">
        <f>42674.49+4488+4488+4488</f>
        <v>56138.49</v>
      </c>
      <c r="K37" s="265">
        <v>65134.49</v>
      </c>
      <c r="L37" s="267">
        <v>0</v>
      </c>
      <c r="M37" s="271">
        <v>80</v>
      </c>
      <c r="N37" s="3">
        <v>1962</v>
      </c>
      <c r="O37" s="204">
        <v>34845</v>
      </c>
      <c r="P37" s="12" t="s">
        <v>434</v>
      </c>
      <c r="Q37" s="12" t="s">
        <v>434</v>
      </c>
      <c r="R37" s="17" t="s">
        <v>438</v>
      </c>
    </row>
    <row r="38" spans="1:18" ht="16.5" customHeight="1">
      <c r="A38" s="23">
        <v>30</v>
      </c>
      <c r="B38" s="23" t="s">
        <v>189</v>
      </c>
      <c r="C38" s="165" t="s">
        <v>333</v>
      </c>
      <c r="D38" s="30" t="s">
        <v>360</v>
      </c>
      <c r="E38" s="32">
        <v>130001010</v>
      </c>
      <c r="F38" s="33" t="s">
        <v>189</v>
      </c>
      <c r="G38" s="3">
        <v>56607</v>
      </c>
      <c r="H38" s="23">
        <v>1.27</v>
      </c>
      <c r="I38" s="265">
        <f t="shared" si="0"/>
        <v>71890.89</v>
      </c>
      <c r="J38" s="266">
        <f>44061.89+4644+4644+4644</f>
        <v>57993.89</v>
      </c>
      <c r="K38" s="265">
        <v>71890.89</v>
      </c>
      <c r="L38" s="267">
        <v>0</v>
      </c>
      <c r="M38" s="271">
        <v>80</v>
      </c>
      <c r="N38" s="3">
        <v>1963</v>
      </c>
      <c r="O38" s="204">
        <v>34845</v>
      </c>
      <c r="P38" s="12" t="s">
        <v>434</v>
      </c>
      <c r="Q38" s="12" t="s">
        <v>434</v>
      </c>
      <c r="R38" s="17" t="s">
        <v>438</v>
      </c>
    </row>
    <row r="39" spans="1:18" ht="15.75" customHeight="1">
      <c r="A39" s="23">
        <v>31</v>
      </c>
      <c r="B39" s="23" t="s">
        <v>188</v>
      </c>
      <c r="C39" s="165" t="s">
        <v>333</v>
      </c>
      <c r="D39" s="26" t="s">
        <v>361</v>
      </c>
      <c r="E39" s="32">
        <v>130001010</v>
      </c>
      <c r="F39" s="33" t="s">
        <v>190</v>
      </c>
      <c r="G39" s="3">
        <v>51287</v>
      </c>
      <c r="H39" s="23">
        <v>1.27</v>
      </c>
      <c r="I39" s="265">
        <f t="shared" si="0"/>
        <v>65134.49</v>
      </c>
      <c r="J39" s="266">
        <f>42674.49+4488+4488+4488</f>
        <v>56138.49</v>
      </c>
      <c r="K39" s="265">
        <v>65134.49</v>
      </c>
      <c r="L39" s="267">
        <v>0</v>
      </c>
      <c r="M39" s="271">
        <v>80</v>
      </c>
      <c r="N39" s="3">
        <v>1962</v>
      </c>
      <c r="O39" s="204">
        <v>34845</v>
      </c>
      <c r="P39" s="12" t="s">
        <v>434</v>
      </c>
      <c r="Q39" s="12" t="s">
        <v>434</v>
      </c>
      <c r="R39" s="17" t="s">
        <v>438</v>
      </c>
    </row>
    <row r="40" spans="1:18" ht="18.75" customHeight="1">
      <c r="A40" s="23">
        <v>32</v>
      </c>
      <c r="B40" s="23" t="s">
        <v>191</v>
      </c>
      <c r="C40" s="165" t="s">
        <v>333</v>
      </c>
      <c r="D40" s="30" t="s">
        <v>362</v>
      </c>
      <c r="E40" s="32">
        <v>130001010</v>
      </c>
      <c r="F40" s="33" t="s">
        <v>191</v>
      </c>
      <c r="G40" s="3">
        <v>47750</v>
      </c>
      <c r="H40" s="23">
        <v>1.27</v>
      </c>
      <c r="I40" s="265">
        <f aca="true" t="shared" si="2" ref="I40:I63">G40*H40</f>
        <v>60642.5</v>
      </c>
      <c r="J40" s="266">
        <f>42674.5+4488+4488+4488</f>
        <v>56138.5</v>
      </c>
      <c r="K40" s="265">
        <v>60642.5</v>
      </c>
      <c r="L40" s="267">
        <v>0</v>
      </c>
      <c r="M40" s="271">
        <v>80</v>
      </c>
      <c r="N40" s="3">
        <v>1961</v>
      </c>
      <c r="O40" s="204">
        <v>34845</v>
      </c>
      <c r="P40" s="12" t="s">
        <v>434</v>
      </c>
      <c r="Q40" s="12" t="s">
        <v>434</v>
      </c>
      <c r="R40" s="17" t="s">
        <v>438</v>
      </c>
    </row>
    <row r="41" spans="1:18" ht="16.5" customHeight="1">
      <c r="A41" s="23">
        <v>33</v>
      </c>
      <c r="B41" s="23" t="s">
        <v>192</v>
      </c>
      <c r="C41" s="165" t="s">
        <v>333</v>
      </c>
      <c r="D41" s="29" t="s">
        <v>363</v>
      </c>
      <c r="E41" s="32">
        <v>130001010</v>
      </c>
      <c r="F41" s="33" t="s">
        <v>192</v>
      </c>
      <c r="G41" s="3">
        <v>108658</v>
      </c>
      <c r="H41" s="23">
        <v>1.27</v>
      </c>
      <c r="I41" s="265">
        <f t="shared" si="2"/>
        <v>137995.66</v>
      </c>
      <c r="J41" s="266">
        <f>84577.66+8904+8904</f>
        <v>102385.66</v>
      </c>
      <c r="K41" s="265">
        <v>137995.66</v>
      </c>
      <c r="L41" s="267">
        <v>0</v>
      </c>
      <c r="M41" s="271">
        <v>162</v>
      </c>
      <c r="N41" s="3">
        <v>1963</v>
      </c>
      <c r="O41" s="204">
        <v>34845</v>
      </c>
      <c r="P41" s="12" t="s">
        <v>434</v>
      </c>
      <c r="Q41" s="12" t="s">
        <v>434</v>
      </c>
      <c r="R41" s="17" t="s">
        <v>438</v>
      </c>
    </row>
    <row r="42" spans="1:18" ht="14.25" customHeight="1">
      <c r="A42" s="23">
        <v>34</v>
      </c>
      <c r="B42" s="23" t="s">
        <v>193</v>
      </c>
      <c r="C42" s="165" t="s">
        <v>333</v>
      </c>
      <c r="D42" s="26" t="s">
        <v>364</v>
      </c>
      <c r="E42" s="32">
        <v>130001010</v>
      </c>
      <c r="F42" s="33" t="s">
        <v>193</v>
      </c>
      <c r="G42" s="3">
        <v>108658</v>
      </c>
      <c r="H42" s="23">
        <v>1.27</v>
      </c>
      <c r="I42" s="265">
        <f t="shared" si="2"/>
        <v>137995.66</v>
      </c>
      <c r="J42" s="266">
        <f>84577.66+8904+8904+8904</f>
        <v>111289.66</v>
      </c>
      <c r="K42" s="265">
        <v>137995.66</v>
      </c>
      <c r="L42" s="267">
        <v>0</v>
      </c>
      <c r="M42" s="271">
        <v>162</v>
      </c>
      <c r="N42" s="3">
        <v>1963</v>
      </c>
      <c r="O42" s="204">
        <v>34845</v>
      </c>
      <c r="P42" s="12" t="s">
        <v>434</v>
      </c>
      <c r="Q42" s="12" t="s">
        <v>434</v>
      </c>
      <c r="R42" s="17" t="s">
        <v>438</v>
      </c>
    </row>
    <row r="43" spans="1:18" ht="13.5" customHeight="1">
      <c r="A43" s="23">
        <v>35</v>
      </c>
      <c r="B43" s="23" t="s">
        <v>194</v>
      </c>
      <c r="C43" s="165" t="s">
        <v>333</v>
      </c>
      <c r="D43" s="26" t="s">
        <v>365</v>
      </c>
      <c r="E43" s="32">
        <v>130001010</v>
      </c>
      <c r="F43" s="33" t="s">
        <v>194</v>
      </c>
      <c r="G43" s="3">
        <v>54604</v>
      </c>
      <c r="H43" s="23">
        <v>1.27</v>
      </c>
      <c r="I43" s="265">
        <f t="shared" si="2"/>
        <v>69347.08</v>
      </c>
      <c r="J43" s="266">
        <f>42503.08+4476+4476+4476</f>
        <v>55931.08</v>
      </c>
      <c r="K43" s="265">
        <v>69347.08</v>
      </c>
      <c r="L43" s="267">
        <v>0</v>
      </c>
      <c r="M43" s="271">
        <v>80</v>
      </c>
      <c r="N43" s="3">
        <v>1963</v>
      </c>
      <c r="O43" s="204">
        <v>34845</v>
      </c>
      <c r="P43" s="12" t="s">
        <v>434</v>
      </c>
      <c r="Q43" s="12" t="s">
        <v>434</v>
      </c>
      <c r="R43" s="17" t="s">
        <v>438</v>
      </c>
    </row>
    <row r="44" spans="1:18" ht="15.75" customHeight="1">
      <c r="A44" s="23">
        <v>36</v>
      </c>
      <c r="B44" s="23" t="s">
        <v>195</v>
      </c>
      <c r="C44" s="165" t="s">
        <v>333</v>
      </c>
      <c r="D44" s="30" t="s">
        <v>366</v>
      </c>
      <c r="E44" s="32">
        <v>130001010</v>
      </c>
      <c r="F44" s="33" t="s">
        <v>195</v>
      </c>
      <c r="G44" s="3">
        <v>54604</v>
      </c>
      <c r="H44" s="23">
        <v>1.27</v>
      </c>
      <c r="I44" s="265">
        <f t="shared" si="2"/>
        <v>69347.08</v>
      </c>
      <c r="J44" s="266">
        <f>42503.08+4476+4476+4476</f>
        <v>55931.08</v>
      </c>
      <c r="K44" s="265">
        <v>69347.08</v>
      </c>
      <c r="L44" s="267">
        <v>0</v>
      </c>
      <c r="M44" s="271">
        <v>80</v>
      </c>
      <c r="N44" s="3">
        <v>1963</v>
      </c>
      <c r="O44" s="204">
        <v>34845</v>
      </c>
      <c r="P44" s="12" t="s">
        <v>434</v>
      </c>
      <c r="Q44" s="12" t="s">
        <v>434</v>
      </c>
      <c r="R44" s="17" t="s">
        <v>438</v>
      </c>
    </row>
    <row r="45" spans="1:18" ht="14.25" customHeight="1">
      <c r="A45" s="23">
        <v>37</v>
      </c>
      <c r="B45" s="23" t="s">
        <v>196</v>
      </c>
      <c r="C45" s="165" t="s">
        <v>333</v>
      </c>
      <c r="D45" s="30" t="s">
        <v>367</v>
      </c>
      <c r="E45" s="32">
        <v>130001010</v>
      </c>
      <c r="F45" s="33" t="s">
        <v>196</v>
      </c>
      <c r="G45" s="3">
        <v>54604</v>
      </c>
      <c r="H45" s="23">
        <v>1.27</v>
      </c>
      <c r="I45" s="265">
        <f t="shared" si="2"/>
        <v>69347.08</v>
      </c>
      <c r="J45" s="266">
        <f>42503.08+4476+4476+4476</f>
        <v>55931.08</v>
      </c>
      <c r="K45" s="265">
        <v>69347.08</v>
      </c>
      <c r="L45" s="267">
        <v>0</v>
      </c>
      <c r="M45" s="271">
        <v>80</v>
      </c>
      <c r="N45" s="3">
        <v>1963</v>
      </c>
      <c r="O45" s="204">
        <v>34845</v>
      </c>
      <c r="P45" s="12" t="s">
        <v>434</v>
      </c>
      <c r="Q45" s="12" t="s">
        <v>434</v>
      </c>
      <c r="R45" s="17" t="s">
        <v>438</v>
      </c>
    </row>
    <row r="46" spans="1:18" ht="17.25" customHeight="1">
      <c r="A46" s="23">
        <v>38</v>
      </c>
      <c r="B46" s="23" t="s">
        <v>197</v>
      </c>
      <c r="C46" s="165" t="s">
        <v>333</v>
      </c>
      <c r="D46" s="26" t="s">
        <v>368</v>
      </c>
      <c r="E46" s="32">
        <v>130001010</v>
      </c>
      <c r="F46" s="33" t="s">
        <v>197</v>
      </c>
      <c r="G46" s="3">
        <v>51287</v>
      </c>
      <c r="H46" s="23">
        <v>1.27</v>
      </c>
      <c r="I46" s="265">
        <f t="shared" si="2"/>
        <v>65134.49</v>
      </c>
      <c r="J46" s="266">
        <f>42674.49+4488+4488+4488</f>
        <v>56138.49</v>
      </c>
      <c r="K46" s="265">
        <v>65134.49</v>
      </c>
      <c r="L46" s="267">
        <v>0</v>
      </c>
      <c r="M46" s="271">
        <v>80</v>
      </c>
      <c r="N46" s="3">
        <v>1962</v>
      </c>
      <c r="O46" s="204">
        <v>34845</v>
      </c>
      <c r="P46" s="12" t="s">
        <v>434</v>
      </c>
      <c r="Q46" s="12" t="s">
        <v>434</v>
      </c>
      <c r="R46" s="17" t="s">
        <v>438</v>
      </c>
    </row>
    <row r="47" spans="1:18" ht="18" customHeight="1">
      <c r="A47" s="23">
        <v>39</v>
      </c>
      <c r="B47" s="23" t="s">
        <v>198</v>
      </c>
      <c r="C47" s="165" t="s">
        <v>333</v>
      </c>
      <c r="D47" s="30" t="s">
        <v>369</v>
      </c>
      <c r="E47" s="32">
        <v>130001010</v>
      </c>
      <c r="F47" s="33" t="s">
        <v>198</v>
      </c>
      <c r="G47" s="3">
        <v>51048</v>
      </c>
      <c r="H47" s="23">
        <v>1.27</v>
      </c>
      <c r="I47" s="265">
        <f t="shared" si="2"/>
        <v>64830.96</v>
      </c>
      <c r="J47" s="266">
        <f>45621.96+4800+4800+4800</f>
        <v>60021.96</v>
      </c>
      <c r="K47" s="265">
        <v>64830.96</v>
      </c>
      <c r="L47" s="267">
        <v>0</v>
      </c>
      <c r="M47" s="271">
        <v>81</v>
      </c>
      <c r="N47" s="3">
        <v>1961</v>
      </c>
      <c r="O47" s="204">
        <v>34845</v>
      </c>
      <c r="P47" s="12" t="s">
        <v>434</v>
      </c>
      <c r="Q47" s="12" t="s">
        <v>434</v>
      </c>
      <c r="R47" s="17" t="s">
        <v>438</v>
      </c>
    </row>
    <row r="48" spans="1:18" ht="17.25" customHeight="1">
      <c r="A48" s="23">
        <v>40</v>
      </c>
      <c r="B48" s="23" t="s">
        <v>199</v>
      </c>
      <c r="C48" s="165" t="s">
        <v>333</v>
      </c>
      <c r="D48" s="26" t="s">
        <v>370</v>
      </c>
      <c r="E48" s="32">
        <v>130001010</v>
      </c>
      <c r="F48" s="33" t="s">
        <v>199</v>
      </c>
      <c r="G48" s="3">
        <v>51048</v>
      </c>
      <c r="H48" s="23">
        <v>1.27</v>
      </c>
      <c r="I48" s="265">
        <f t="shared" si="2"/>
        <v>64830.96</v>
      </c>
      <c r="J48" s="266">
        <f>45621.96+4800+4800+4800</f>
        <v>60021.96</v>
      </c>
      <c r="K48" s="265">
        <v>64830.96</v>
      </c>
      <c r="L48" s="267">
        <v>0</v>
      </c>
      <c r="M48" s="271">
        <v>78</v>
      </c>
      <c r="N48" s="3">
        <v>1961</v>
      </c>
      <c r="O48" s="204">
        <v>34845</v>
      </c>
      <c r="P48" s="12" t="s">
        <v>434</v>
      </c>
      <c r="Q48" s="12" t="s">
        <v>434</v>
      </c>
      <c r="R48" s="17" t="s">
        <v>438</v>
      </c>
    </row>
    <row r="49" spans="1:18" ht="17.25" customHeight="1">
      <c r="A49" s="23">
        <v>41</v>
      </c>
      <c r="B49" s="23" t="s">
        <v>203</v>
      </c>
      <c r="C49" s="165" t="s">
        <v>333</v>
      </c>
      <c r="D49" s="30" t="s">
        <v>371</v>
      </c>
      <c r="E49" s="32">
        <v>130001010</v>
      </c>
      <c r="F49" s="33" t="s">
        <v>200</v>
      </c>
      <c r="G49" s="3">
        <v>51048</v>
      </c>
      <c r="H49" s="23">
        <v>1.27</v>
      </c>
      <c r="I49" s="265">
        <v>32415.48</v>
      </c>
      <c r="J49" s="266">
        <f>45621.96+4800+4800+4800</f>
        <v>60021.96</v>
      </c>
      <c r="K49" s="265">
        <v>32415.48</v>
      </c>
      <c r="L49" s="267">
        <v>0</v>
      </c>
      <c r="M49" s="271">
        <v>39</v>
      </c>
      <c r="N49" s="3">
        <v>1961</v>
      </c>
      <c r="O49" s="204">
        <v>34845</v>
      </c>
      <c r="P49" s="12" t="s">
        <v>434</v>
      </c>
      <c r="Q49" s="12" t="s">
        <v>434</v>
      </c>
      <c r="R49" s="17" t="s">
        <v>438</v>
      </c>
    </row>
    <row r="50" spans="1:18" ht="15.75" customHeight="1">
      <c r="A50" s="23">
        <v>42</v>
      </c>
      <c r="B50" s="23" t="s">
        <v>201</v>
      </c>
      <c r="C50" s="165" t="s">
        <v>333</v>
      </c>
      <c r="D50" s="26" t="s">
        <v>372</v>
      </c>
      <c r="E50" s="32">
        <v>130001010</v>
      </c>
      <c r="F50" s="33" t="s">
        <v>201</v>
      </c>
      <c r="G50" s="3">
        <v>38042</v>
      </c>
      <c r="H50" s="23">
        <v>1.27</v>
      </c>
      <c r="I50" s="265">
        <f t="shared" si="2"/>
        <v>48313.340000000004</v>
      </c>
      <c r="J50" s="266">
        <f>33998.34+3576+3576+3576</f>
        <v>44726.34</v>
      </c>
      <c r="K50" s="265">
        <v>48313.34</v>
      </c>
      <c r="L50" s="267">
        <v>0</v>
      </c>
      <c r="M50" s="271">
        <v>84</v>
      </c>
      <c r="N50" s="3">
        <v>1961</v>
      </c>
      <c r="O50" s="204">
        <v>34845</v>
      </c>
      <c r="P50" s="12" t="s">
        <v>434</v>
      </c>
      <c r="Q50" s="12" t="s">
        <v>434</v>
      </c>
      <c r="R50" s="17" t="s">
        <v>438</v>
      </c>
    </row>
    <row r="51" spans="1:18" ht="16.5" customHeight="1">
      <c r="A51" s="23">
        <v>43</v>
      </c>
      <c r="B51" s="23" t="s">
        <v>202</v>
      </c>
      <c r="C51" s="165" t="s">
        <v>333</v>
      </c>
      <c r="D51" s="30" t="s">
        <v>373</v>
      </c>
      <c r="E51" s="32">
        <v>130001010</v>
      </c>
      <c r="F51" s="33" t="s">
        <v>202</v>
      </c>
      <c r="G51" s="3">
        <v>54829</v>
      </c>
      <c r="H51" s="23">
        <v>1.27</v>
      </c>
      <c r="I51" s="265">
        <f t="shared" si="2"/>
        <v>69632.83</v>
      </c>
      <c r="J51" s="266">
        <f>45621.83+4800+4800+4800</f>
        <v>60021.83</v>
      </c>
      <c r="K51" s="265">
        <v>69632.83</v>
      </c>
      <c r="L51" s="267">
        <v>0</v>
      </c>
      <c r="M51" s="271">
        <v>79</v>
      </c>
      <c r="N51" s="3">
        <v>1962</v>
      </c>
      <c r="O51" s="204">
        <v>34845</v>
      </c>
      <c r="P51" s="12" t="s">
        <v>434</v>
      </c>
      <c r="Q51" s="12" t="s">
        <v>434</v>
      </c>
      <c r="R51" s="17" t="s">
        <v>438</v>
      </c>
    </row>
    <row r="52" spans="1:18" ht="18" customHeight="1">
      <c r="A52" s="23">
        <v>44</v>
      </c>
      <c r="B52" s="23" t="s">
        <v>200</v>
      </c>
      <c r="C52" s="165" t="s">
        <v>333</v>
      </c>
      <c r="D52" s="26" t="s">
        <v>374</v>
      </c>
      <c r="E52" s="32">
        <v>130001010</v>
      </c>
      <c r="F52" s="33" t="s">
        <v>203</v>
      </c>
      <c r="G52" s="3">
        <v>51048</v>
      </c>
      <c r="H52" s="23">
        <v>1.27</v>
      </c>
      <c r="I52" s="265">
        <f t="shared" si="2"/>
        <v>64830.96</v>
      </c>
      <c r="J52" s="266">
        <f>45621.96+4800+4800+4800</f>
        <v>60021.96</v>
      </c>
      <c r="K52" s="265">
        <v>64830.96</v>
      </c>
      <c r="L52" s="267">
        <v>0</v>
      </c>
      <c r="M52" s="271">
        <v>79</v>
      </c>
      <c r="N52" s="3">
        <v>1961</v>
      </c>
      <c r="O52" s="204">
        <v>34845</v>
      </c>
      <c r="P52" s="12" t="s">
        <v>434</v>
      </c>
      <c r="Q52" s="12" t="s">
        <v>434</v>
      </c>
      <c r="R52" s="17" t="s">
        <v>438</v>
      </c>
    </row>
    <row r="53" spans="1:18" ht="17.25" customHeight="1">
      <c r="A53" s="23">
        <v>45</v>
      </c>
      <c r="B53" s="23" t="s">
        <v>204</v>
      </c>
      <c r="C53" s="165" t="s">
        <v>333</v>
      </c>
      <c r="D53" s="30" t="s">
        <v>565</v>
      </c>
      <c r="E53" s="32">
        <v>130001010</v>
      </c>
      <c r="F53" s="33" t="s">
        <v>204</v>
      </c>
      <c r="G53" s="3">
        <v>71649</v>
      </c>
      <c r="H53" s="23">
        <v>1.27</v>
      </c>
      <c r="I53" s="265">
        <f t="shared" si="2"/>
        <v>90994.23</v>
      </c>
      <c r="J53" s="266">
        <f>69155.23+7284+7284+7271</f>
        <v>90994.23</v>
      </c>
      <c r="K53" s="265">
        <v>90994.23</v>
      </c>
      <c r="L53" s="267">
        <v>0</v>
      </c>
      <c r="M53" s="271">
        <v>84</v>
      </c>
      <c r="N53" s="3">
        <v>1960</v>
      </c>
      <c r="O53" s="204">
        <v>34845</v>
      </c>
      <c r="P53" s="12" t="s">
        <v>434</v>
      </c>
      <c r="Q53" s="12" t="s">
        <v>434</v>
      </c>
      <c r="R53" s="17" t="s">
        <v>438</v>
      </c>
    </row>
    <row r="54" spans="1:18" ht="19.5" customHeight="1">
      <c r="A54" s="23">
        <v>46</v>
      </c>
      <c r="B54" s="23" t="s">
        <v>205</v>
      </c>
      <c r="C54" s="165" t="s">
        <v>333</v>
      </c>
      <c r="D54" s="26" t="s">
        <v>375</v>
      </c>
      <c r="E54" s="32">
        <v>130001010</v>
      </c>
      <c r="F54" s="33" t="s">
        <v>205</v>
      </c>
      <c r="G54" s="3">
        <v>51048</v>
      </c>
      <c r="H54" s="23">
        <v>1.27</v>
      </c>
      <c r="I54" s="265">
        <f t="shared" si="2"/>
        <v>64830.96</v>
      </c>
      <c r="J54" s="266">
        <f>45621.96+4800+4800+4800</f>
        <v>60021.96</v>
      </c>
      <c r="K54" s="265">
        <v>64830.96</v>
      </c>
      <c r="L54" s="267">
        <v>0</v>
      </c>
      <c r="M54" s="271">
        <v>78</v>
      </c>
      <c r="N54" s="3">
        <v>1960</v>
      </c>
      <c r="O54" s="204">
        <v>34845</v>
      </c>
      <c r="P54" s="12" t="s">
        <v>434</v>
      </c>
      <c r="Q54" s="12" t="s">
        <v>434</v>
      </c>
      <c r="R54" s="17" t="s">
        <v>438</v>
      </c>
    </row>
    <row r="55" spans="1:18" ht="15.75" customHeight="1">
      <c r="A55" s="23">
        <v>47</v>
      </c>
      <c r="B55" s="23" t="s">
        <v>206</v>
      </c>
      <c r="C55" s="165" t="s">
        <v>333</v>
      </c>
      <c r="D55" s="30" t="s">
        <v>376</v>
      </c>
      <c r="E55" s="32">
        <v>130001010</v>
      </c>
      <c r="F55" s="33" t="s">
        <v>206</v>
      </c>
      <c r="G55" s="3">
        <v>47263</v>
      </c>
      <c r="H55" s="23">
        <v>1.27</v>
      </c>
      <c r="I55" s="265">
        <f t="shared" si="2"/>
        <v>60024.01</v>
      </c>
      <c r="J55" s="266">
        <f>45617.01+4800+4800+4800</f>
        <v>60017.01</v>
      </c>
      <c r="K55" s="265">
        <v>60024.01</v>
      </c>
      <c r="L55" s="267">
        <v>0</v>
      </c>
      <c r="M55" s="271">
        <v>110</v>
      </c>
      <c r="N55" s="3">
        <v>1960</v>
      </c>
      <c r="O55" s="204">
        <v>34845</v>
      </c>
      <c r="P55" s="12" t="s">
        <v>434</v>
      </c>
      <c r="Q55" s="12" t="s">
        <v>434</v>
      </c>
      <c r="R55" s="17" t="s">
        <v>438</v>
      </c>
    </row>
    <row r="56" spans="1:18" ht="17.25" customHeight="1">
      <c r="A56" s="23">
        <v>48</v>
      </c>
      <c r="B56" s="23" t="s">
        <v>207</v>
      </c>
      <c r="C56" s="165" t="s">
        <v>333</v>
      </c>
      <c r="D56" s="29" t="s">
        <v>377</v>
      </c>
      <c r="E56" s="32">
        <v>130001010</v>
      </c>
      <c r="F56" s="33" t="s">
        <v>207</v>
      </c>
      <c r="G56" s="3">
        <v>87267</v>
      </c>
      <c r="H56" s="23">
        <v>1.27</v>
      </c>
      <c r="I56" s="265">
        <f t="shared" si="2"/>
        <v>110829.09</v>
      </c>
      <c r="J56" s="266">
        <f>77991.09+8208+8208+8208</f>
        <v>102615.09</v>
      </c>
      <c r="K56" s="265">
        <v>110829.09</v>
      </c>
      <c r="L56" s="267">
        <v>0</v>
      </c>
      <c r="M56" s="271">
        <v>110</v>
      </c>
      <c r="N56" s="3">
        <v>1960</v>
      </c>
      <c r="O56" s="204">
        <v>34845</v>
      </c>
      <c r="P56" s="12" t="s">
        <v>434</v>
      </c>
      <c r="Q56" s="12" t="s">
        <v>434</v>
      </c>
      <c r="R56" s="17" t="s">
        <v>438</v>
      </c>
    </row>
    <row r="57" spans="1:18" ht="18.75" customHeight="1">
      <c r="A57" s="23">
        <v>49</v>
      </c>
      <c r="B57" s="23" t="s">
        <v>208</v>
      </c>
      <c r="C57" s="165" t="s">
        <v>333</v>
      </c>
      <c r="D57" s="29" t="s">
        <v>378</v>
      </c>
      <c r="E57" s="32">
        <v>130001010</v>
      </c>
      <c r="F57" s="33" t="s">
        <v>208</v>
      </c>
      <c r="G57" s="3">
        <v>79081</v>
      </c>
      <c r="H57" s="23">
        <v>1.27</v>
      </c>
      <c r="I57" s="265">
        <f t="shared" si="2"/>
        <v>100432.87</v>
      </c>
      <c r="J57" s="266">
        <f aca="true" t="shared" si="3" ref="J57:J62">70674.87+7440+7440+7440</f>
        <v>92994.87</v>
      </c>
      <c r="K57" s="265">
        <v>100432.87</v>
      </c>
      <c r="L57" s="267">
        <v>0</v>
      </c>
      <c r="M57" s="271">
        <v>110</v>
      </c>
      <c r="N57" s="3">
        <v>1961</v>
      </c>
      <c r="O57" s="204">
        <v>34845</v>
      </c>
      <c r="P57" s="12" t="s">
        <v>434</v>
      </c>
      <c r="Q57" s="12" t="s">
        <v>434</v>
      </c>
      <c r="R57" s="17" t="s">
        <v>438</v>
      </c>
    </row>
    <row r="58" spans="1:18" ht="16.5" customHeight="1">
      <c r="A58" s="23">
        <v>50</v>
      </c>
      <c r="B58" s="23" t="s">
        <v>209</v>
      </c>
      <c r="C58" s="165" t="s">
        <v>333</v>
      </c>
      <c r="D58" s="30" t="s">
        <v>379</v>
      </c>
      <c r="E58" s="32">
        <v>130001010</v>
      </c>
      <c r="F58" s="33" t="s">
        <v>209</v>
      </c>
      <c r="G58" s="3">
        <v>79081</v>
      </c>
      <c r="H58" s="23">
        <v>1.27</v>
      </c>
      <c r="I58" s="265">
        <f t="shared" si="2"/>
        <v>100432.87</v>
      </c>
      <c r="J58" s="266">
        <f t="shared" si="3"/>
        <v>92994.87</v>
      </c>
      <c r="K58" s="265">
        <v>100432.87</v>
      </c>
      <c r="L58" s="267">
        <v>0</v>
      </c>
      <c r="M58" s="271">
        <v>110</v>
      </c>
      <c r="N58" s="3">
        <v>1961</v>
      </c>
      <c r="O58" s="204">
        <v>34845</v>
      </c>
      <c r="P58" s="12" t="s">
        <v>434</v>
      </c>
      <c r="Q58" s="12" t="s">
        <v>434</v>
      </c>
      <c r="R58" s="17" t="s">
        <v>438</v>
      </c>
    </row>
    <row r="59" spans="1:18" ht="17.25" customHeight="1">
      <c r="A59" s="23">
        <v>51</v>
      </c>
      <c r="B59" s="23" t="s">
        <v>210</v>
      </c>
      <c r="C59" s="165" t="s">
        <v>333</v>
      </c>
      <c r="D59" s="29" t="s">
        <v>380</v>
      </c>
      <c r="E59" s="32">
        <v>130001010</v>
      </c>
      <c r="F59" s="33" t="s">
        <v>210</v>
      </c>
      <c r="G59" s="3">
        <v>79081</v>
      </c>
      <c r="H59" s="23">
        <v>1.27</v>
      </c>
      <c r="I59" s="265">
        <f t="shared" si="2"/>
        <v>100432.87</v>
      </c>
      <c r="J59" s="266">
        <f t="shared" si="3"/>
        <v>92994.87</v>
      </c>
      <c r="K59" s="265">
        <v>100432.87</v>
      </c>
      <c r="L59" s="267">
        <v>0</v>
      </c>
      <c r="M59" s="271">
        <v>110</v>
      </c>
      <c r="N59" s="3">
        <v>1961</v>
      </c>
      <c r="O59" s="204">
        <v>34845</v>
      </c>
      <c r="P59" s="12" t="s">
        <v>434</v>
      </c>
      <c r="Q59" s="12" t="s">
        <v>434</v>
      </c>
      <c r="R59" s="17" t="s">
        <v>438</v>
      </c>
    </row>
    <row r="60" spans="1:18" ht="16.5" customHeight="1">
      <c r="A60" s="23">
        <v>52</v>
      </c>
      <c r="B60" s="23" t="s">
        <v>211</v>
      </c>
      <c r="C60" s="165" t="s">
        <v>333</v>
      </c>
      <c r="D60" s="26" t="s">
        <v>381</v>
      </c>
      <c r="E60" s="32">
        <v>130001010</v>
      </c>
      <c r="F60" s="33" t="s">
        <v>211</v>
      </c>
      <c r="G60" s="3">
        <v>79081</v>
      </c>
      <c r="H60" s="23">
        <v>1.27</v>
      </c>
      <c r="I60" s="265">
        <f t="shared" si="2"/>
        <v>100432.87</v>
      </c>
      <c r="J60" s="266">
        <f t="shared" si="3"/>
        <v>92994.87</v>
      </c>
      <c r="K60" s="265">
        <v>100432.87</v>
      </c>
      <c r="L60" s="267">
        <v>0</v>
      </c>
      <c r="M60" s="271">
        <v>110</v>
      </c>
      <c r="N60" s="3">
        <v>1961</v>
      </c>
      <c r="O60" s="204">
        <v>34845</v>
      </c>
      <c r="P60" s="12" t="s">
        <v>434</v>
      </c>
      <c r="Q60" s="12" t="s">
        <v>434</v>
      </c>
      <c r="R60" s="17" t="s">
        <v>438</v>
      </c>
    </row>
    <row r="61" spans="1:18" ht="16.5" customHeight="1">
      <c r="A61" s="23">
        <v>53</v>
      </c>
      <c r="B61" s="23" t="s">
        <v>213</v>
      </c>
      <c r="C61" s="165" t="s">
        <v>333</v>
      </c>
      <c r="D61" s="30" t="s">
        <v>566</v>
      </c>
      <c r="E61" s="32">
        <v>130001010</v>
      </c>
      <c r="F61" s="33" t="s">
        <v>212</v>
      </c>
      <c r="G61" s="3">
        <v>79081</v>
      </c>
      <c r="H61" s="23">
        <v>1.27</v>
      </c>
      <c r="I61" s="265">
        <f t="shared" si="2"/>
        <v>100432.87</v>
      </c>
      <c r="J61" s="266">
        <f t="shared" si="3"/>
        <v>92994.87</v>
      </c>
      <c r="K61" s="265">
        <v>100432.87</v>
      </c>
      <c r="L61" s="267">
        <v>0</v>
      </c>
      <c r="M61" s="271">
        <v>110</v>
      </c>
      <c r="N61" s="3">
        <v>1961</v>
      </c>
      <c r="O61" s="204">
        <v>34845</v>
      </c>
      <c r="P61" s="12" t="s">
        <v>434</v>
      </c>
      <c r="Q61" s="12" t="s">
        <v>434</v>
      </c>
      <c r="R61" s="17" t="s">
        <v>438</v>
      </c>
    </row>
    <row r="62" spans="1:18" ht="15" customHeight="1">
      <c r="A62" s="23">
        <v>54</v>
      </c>
      <c r="B62" s="23" t="s">
        <v>212</v>
      </c>
      <c r="C62" s="165" t="s">
        <v>333</v>
      </c>
      <c r="D62" s="26" t="s">
        <v>567</v>
      </c>
      <c r="E62" s="32">
        <v>130001010</v>
      </c>
      <c r="F62" s="33" t="s">
        <v>213</v>
      </c>
      <c r="G62" s="3">
        <v>79081</v>
      </c>
      <c r="H62" s="23">
        <v>1.27</v>
      </c>
      <c r="I62" s="265">
        <f t="shared" si="2"/>
        <v>100432.87</v>
      </c>
      <c r="J62" s="266">
        <f t="shared" si="3"/>
        <v>92994.87</v>
      </c>
      <c r="K62" s="265">
        <v>100432.87</v>
      </c>
      <c r="L62" s="267">
        <v>0</v>
      </c>
      <c r="M62" s="271">
        <v>110</v>
      </c>
      <c r="N62" s="3">
        <v>1961</v>
      </c>
      <c r="O62" s="204">
        <v>34845</v>
      </c>
      <c r="P62" s="12" t="s">
        <v>434</v>
      </c>
      <c r="Q62" s="12" t="s">
        <v>434</v>
      </c>
      <c r="R62" s="17" t="s">
        <v>438</v>
      </c>
    </row>
    <row r="63" spans="1:18" ht="17.25" customHeight="1">
      <c r="A63" s="23">
        <v>55</v>
      </c>
      <c r="B63" s="23" t="s">
        <v>214</v>
      </c>
      <c r="C63" s="165" t="s">
        <v>333</v>
      </c>
      <c r="D63" s="30" t="s">
        <v>382</v>
      </c>
      <c r="E63" s="32">
        <v>130001010</v>
      </c>
      <c r="F63" s="33" t="s">
        <v>214</v>
      </c>
      <c r="G63" s="3">
        <v>51048</v>
      </c>
      <c r="H63" s="23">
        <v>1.27</v>
      </c>
      <c r="I63" s="265">
        <f t="shared" si="2"/>
        <v>64830.96</v>
      </c>
      <c r="J63" s="266">
        <f>45621.96+4800+4800+4800</f>
        <v>60021.96</v>
      </c>
      <c r="K63" s="265">
        <v>64830.96</v>
      </c>
      <c r="L63" s="267">
        <v>0</v>
      </c>
      <c r="M63" s="271">
        <v>79</v>
      </c>
      <c r="N63" s="3">
        <v>1961</v>
      </c>
      <c r="O63" s="204">
        <v>34845</v>
      </c>
      <c r="P63" s="12" t="s">
        <v>434</v>
      </c>
      <c r="Q63" s="12" t="s">
        <v>434</v>
      </c>
      <c r="R63" s="17" t="s">
        <v>438</v>
      </c>
    </row>
    <row r="64" spans="1:18" ht="15" customHeight="1">
      <c r="A64" s="23">
        <v>56</v>
      </c>
      <c r="B64" s="23" t="s">
        <v>215</v>
      </c>
      <c r="C64" s="165" t="s">
        <v>333</v>
      </c>
      <c r="D64" s="29" t="s">
        <v>383</v>
      </c>
      <c r="E64" s="32">
        <v>130001010</v>
      </c>
      <c r="F64" s="33" t="s">
        <v>215</v>
      </c>
      <c r="G64" s="3">
        <v>61377</v>
      </c>
      <c r="H64" s="23">
        <v>1.27</v>
      </c>
      <c r="I64" s="265">
        <f aca="true" t="shared" si="4" ref="I64:I111">G64*H64</f>
        <v>77948.79000000001</v>
      </c>
      <c r="J64" s="266">
        <f>54852.79+5772+5772+5772</f>
        <v>72168.79000000001</v>
      </c>
      <c r="K64" s="265">
        <v>77948.79</v>
      </c>
      <c r="L64" s="267">
        <v>0</v>
      </c>
      <c r="M64" s="271">
        <v>77</v>
      </c>
      <c r="N64" s="3">
        <v>1961</v>
      </c>
      <c r="O64" s="204">
        <v>34845</v>
      </c>
      <c r="P64" s="12" t="s">
        <v>434</v>
      </c>
      <c r="Q64" s="12" t="s">
        <v>434</v>
      </c>
      <c r="R64" s="17" t="s">
        <v>438</v>
      </c>
    </row>
    <row r="65" spans="1:18" ht="18" customHeight="1">
      <c r="A65" s="23">
        <v>57</v>
      </c>
      <c r="B65" s="23" t="s">
        <v>216</v>
      </c>
      <c r="C65" s="165" t="s">
        <v>333</v>
      </c>
      <c r="D65" s="26" t="s">
        <v>384</v>
      </c>
      <c r="E65" s="32">
        <v>130001010</v>
      </c>
      <c r="F65" s="33" t="s">
        <v>216</v>
      </c>
      <c r="G65" s="3">
        <v>49693</v>
      </c>
      <c r="H65" s="23">
        <v>1.27</v>
      </c>
      <c r="I65" s="265">
        <f t="shared" si="4"/>
        <v>63110.11</v>
      </c>
      <c r="J65" s="266">
        <f>44411.11+4680+4680+4680</f>
        <v>58451.11</v>
      </c>
      <c r="K65" s="265">
        <v>63110.11</v>
      </c>
      <c r="L65" s="267">
        <v>0</v>
      </c>
      <c r="M65" s="271">
        <v>80</v>
      </c>
      <c r="N65" s="3">
        <v>1961</v>
      </c>
      <c r="O65" s="204">
        <v>34845</v>
      </c>
      <c r="P65" s="12" t="s">
        <v>434</v>
      </c>
      <c r="Q65" s="12" t="s">
        <v>434</v>
      </c>
      <c r="R65" s="17" t="s">
        <v>438</v>
      </c>
    </row>
    <row r="66" spans="1:18" ht="18.75" customHeight="1">
      <c r="A66" s="23">
        <v>58</v>
      </c>
      <c r="B66" s="23" t="s">
        <v>217</v>
      </c>
      <c r="C66" s="165" t="s">
        <v>333</v>
      </c>
      <c r="D66" s="29" t="s">
        <v>385</v>
      </c>
      <c r="E66" s="32">
        <v>130001010</v>
      </c>
      <c r="F66" s="33" t="s">
        <v>217</v>
      </c>
      <c r="G66" s="3">
        <v>51630</v>
      </c>
      <c r="H66" s="23">
        <v>1.27</v>
      </c>
      <c r="I66" s="265">
        <f t="shared" si="4"/>
        <v>65570.1</v>
      </c>
      <c r="J66" s="266">
        <f>46142.1+4860+4860+4860</f>
        <v>60722.1</v>
      </c>
      <c r="K66" s="265">
        <v>65570.1</v>
      </c>
      <c r="L66" s="267">
        <v>0</v>
      </c>
      <c r="M66" s="271">
        <v>80</v>
      </c>
      <c r="N66" s="3">
        <v>1961</v>
      </c>
      <c r="O66" s="204">
        <v>34845</v>
      </c>
      <c r="P66" s="12" t="s">
        <v>434</v>
      </c>
      <c r="Q66" s="12" t="s">
        <v>434</v>
      </c>
      <c r="R66" s="17" t="s">
        <v>438</v>
      </c>
    </row>
    <row r="67" spans="1:18" ht="17.25" customHeight="1">
      <c r="A67" s="23">
        <v>59</v>
      </c>
      <c r="B67" s="23" t="s">
        <v>218</v>
      </c>
      <c r="C67" s="165" t="s">
        <v>333</v>
      </c>
      <c r="D67" s="30" t="s">
        <v>386</v>
      </c>
      <c r="E67" s="32">
        <v>130001010</v>
      </c>
      <c r="F67" s="33" t="s">
        <v>218</v>
      </c>
      <c r="G67" s="3">
        <v>36576</v>
      </c>
      <c r="H67" s="23">
        <v>1.27</v>
      </c>
      <c r="I67" s="265">
        <f t="shared" si="4"/>
        <v>46451.520000000004</v>
      </c>
      <c r="J67" s="266">
        <f>38372.52+4044+4035</f>
        <v>46451.52</v>
      </c>
      <c r="K67" s="265">
        <v>46451.52</v>
      </c>
      <c r="L67" s="267">
        <v>0</v>
      </c>
      <c r="M67" s="271">
        <v>80</v>
      </c>
      <c r="N67" s="3">
        <v>1959</v>
      </c>
      <c r="O67" s="204">
        <v>34845</v>
      </c>
      <c r="P67" s="12" t="s">
        <v>434</v>
      </c>
      <c r="Q67" s="12" t="s">
        <v>434</v>
      </c>
      <c r="R67" s="17" t="s">
        <v>438</v>
      </c>
    </row>
    <row r="68" spans="1:18" ht="19.5" customHeight="1">
      <c r="A68" s="23">
        <v>60</v>
      </c>
      <c r="B68" s="23" t="s">
        <v>219</v>
      </c>
      <c r="C68" s="165" t="s">
        <v>333</v>
      </c>
      <c r="D68" s="26" t="s">
        <v>387</v>
      </c>
      <c r="E68" s="32">
        <v>130001010</v>
      </c>
      <c r="F68" s="33" t="s">
        <v>219</v>
      </c>
      <c r="G68" s="3">
        <v>70009</v>
      </c>
      <c r="H68" s="23">
        <v>1.27</v>
      </c>
      <c r="I68" s="265">
        <f t="shared" si="4"/>
        <v>88911.43000000001</v>
      </c>
      <c r="J68" s="266">
        <f>67572.43+7116+7116+7107</f>
        <v>88911.43</v>
      </c>
      <c r="K68" s="265">
        <v>88911.43</v>
      </c>
      <c r="L68" s="267">
        <v>0</v>
      </c>
      <c r="M68" s="271">
        <v>110</v>
      </c>
      <c r="N68" s="3">
        <v>1960</v>
      </c>
      <c r="O68" s="204">
        <v>34845</v>
      </c>
      <c r="P68" s="12" t="s">
        <v>434</v>
      </c>
      <c r="Q68" s="12" t="s">
        <v>434</v>
      </c>
      <c r="R68" s="17" t="s">
        <v>438</v>
      </c>
    </row>
    <row r="69" spans="1:18" ht="17.25" customHeight="1">
      <c r="A69" s="23">
        <v>61</v>
      </c>
      <c r="B69" s="23" t="s">
        <v>220</v>
      </c>
      <c r="C69" s="165" t="s">
        <v>333</v>
      </c>
      <c r="D69" s="30" t="s">
        <v>388</v>
      </c>
      <c r="E69" s="32">
        <v>130001010</v>
      </c>
      <c r="F69" s="33" t="s">
        <v>220</v>
      </c>
      <c r="G69" s="3">
        <v>76413</v>
      </c>
      <c r="H69" s="23">
        <v>1.27</v>
      </c>
      <c r="I69" s="265">
        <f t="shared" si="4"/>
        <v>97044.51</v>
      </c>
      <c r="J69" s="266">
        <f>73753.51+7764+7764+7763</f>
        <v>97044.51</v>
      </c>
      <c r="K69" s="265">
        <v>97044.51</v>
      </c>
      <c r="L69" s="267">
        <v>0</v>
      </c>
      <c r="M69" s="271">
        <v>110</v>
      </c>
      <c r="N69" s="3">
        <v>1960</v>
      </c>
      <c r="O69" s="204">
        <v>34845</v>
      </c>
      <c r="P69" s="12" t="s">
        <v>434</v>
      </c>
      <c r="Q69" s="12" t="s">
        <v>434</v>
      </c>
      <c r="R69" s="17" t="s">
        <v>438</v>
      </c>
    </row>
    <row r="70" spans="1:18" ht="18" customHeight="1">
      <c r="A70" s="17">
        <v>62</v>
      </c>
      <c r="B70" s="23" t="s">
        <v>221</v>
      </c>
      <c r="C70" s="165" t="s">
        <v>333</v>
      </c>
      <c r="D70" s="26" t="s">
        <v>389</v>
      </c>
      <c r="E70" s="32">
        <v>130001010</v>
      </c>
      <c r="F70" s="33" t="s">
        <v>221</v>
      </c>
      <c r="G70" s="3">
        <v>73157</v>
      </c>
      <c r="H70" s="23">
        <v>1.27</v>
      </c>
      <c r="I70" s="265">
        <f t="shared" si="4"/>
        <v>92909.39</v>
      </c>
      <c r="J70" s="266">
        <f>76751.39+8076+8082</f>
        <v>92909.39</v>
      </c>
      <c r="K70" s="265">
        <v>92909.39</v>
      </c>
      <c r="L70" s="267">
        <v>0</v>
      </c>
      <c r="M70" s="271">
        <v>114</v>
      </c>
      <c r="N70" s="3">
        <v>1959</v>
      </c>
      <c r="O70" s="204">
        <v>34845</v>
      </c>
      <c r="P70" s="12" t="s">
        <v>434</v>
      </c>
      <c r="Q70" s="12" t="s">
        <v>434</v>
      </c>
      <c r="R70" s="17" t="s">
        <v>438</v>
      </c>
    </row>
    <row r="71" spans="1:18" ht="18" customHeight="1">
      <c r="A71" s="17">
        <v>63</v>
      </c>
      <c r="B71" s="23" t="s">
        <v>222</v>
      </c>
      <c r="C71" s="165" t="s">
        <v>333</v>
      </c>
      <c r="D71" s="26" t="s">
        <v>568</v>
      </c>
      <c r="E71" s="32">
        <v>130001010</v>
      </c>
      <c r="F71" s="33" t="s">
        <v>222</v>
      </c>
      <c r="G71" s="3">
        <v>78336</v>
      </c>
      <c r="H71" s="23">
        <v>1.27</v>
      </c>
      <c r="I71" s="265">
        <f t="shared" si="4"/>
        <v>99486.72</v>
      </c>
      <c r="J71" s="266">
        <f>75609.72+7956+7956+7956</f>
        <v>99477.72</v>
      </c>
      <c r="K71" s="265">
        <v>99486.72</v>
      </c>
      <c r="L71" s="267">
        <v>0</v>
      </c>
      <c r="M71" s="271">
        <v>114</v>
      </c>
      <c r="N71" s="3">
        <v>1960</v>
      </c>
      <c r="O71" s="204">
        <v>34845</v>
      </c>
      <c r="P71" s="12" t="s">
        <v>434</v>
      </c>
      <c r="Q71" s="12" t="s">
        <v>434</v>
      </c>
      <c r="R71" s="17" t="s">
        <v>438</v>
      </c>
    </row>
    <row r="72" spans="1:18" ht="18.75" customHeight="1">
      <c r="A72" s="17">
        <v>64</v>
      </c>
      <c r="B72" s="23" t="s">
        <v>223</v>
      </c>
      <c r="C72" s="165" t="s">
        <v>333</v>
      </c>
      <c r="D72" s="30" t="s">
        <v>390</v>
      </c>
      <c r="E72" s="32">
        <v>130001010</v>
      </c>
      <c r="F72" s="33" t="s">
        <v>223</v>
      </c>
      <c r="G72" s="3">
        <v>60843</v>
      </c>
      <c r="H72" s="23">
        <v>1.27</v>
      </c>
      <c r="I72" s="265">
        <f t="shared" si="4"/>
        <v>77270.61</v>
      </c>
      <c r="J72" s="266">
        <f>63832.61+6720+6718</f>
        <v>77270.61</v>
      </c>
      <c r="K72" s="265">
        <v>77270.61</v>
      </c>
      <c r="L72" s="267">
        <v>0</v>
      </c>
      <c r="M72" s="271">
        <v>114</v>
      </c>
      <c r="N72" s="3">
        <v>1960</v>
      </c>
      <c r="O72" s="204">
        <v>34845</v>
      </c>
      <c r="P72" s="12" t="s">
        <v>434</v>
      </c>
      <c r="Q72" s="12" t="s">
        <v>434</v>
      </c>
      <c r="R72" s="17" t="s">
        <v>438</v>
      </c>
    </row>
    <row r="73" spans="1:18" ht="18" customHeight="1">
      <c r="A73" s="17">
        <v>65</v>
      </c>
      <c r="B73" s="23" t="s">
        <v>224</v>
      </c>
      <c r="C73" s="165" t="s">
        <v>333</v>
      </c>
      <c r="D73" s="26" t="s">
        <v>391</v>
      </c>
      <c r="E73" s="32">
        <v>130001010</v>
      </c>
      <c r="F73" s="33" t="s">
        <v>224</v>
      </c>
      <c r="G73" s="3">
        <v>93812</v>
      </c>
      <c r="H73" s="23">
        <v>1.27</v>
      </c>
      <c r="I73" s="265">
        <f t="shared" si="4"/>
        <v>119141.24</v>
      </c>
      <c r="J73" s="266">
        <f>92403.24+8916+8916+8906</f>
        <v>119141.24</v>
      </c>
      <c r="K73" s="265">
        <v>119141.24</v>
      </c>
      <c r="L73" s="267">
        <v>0</v>
      </c>
      <c r="M73" s="271">
        <v>114</v>
      </c>
      <c r="N73" s="3">
        <v>1960</v>
      </c>
      <c r="O73" s="204">
        <v>34845</v>
      </c>
      <c r="P73" s="12" t="s">
        <v>434</v>
      </c>
      <c r="Q73" s="12" t="s">
        <v>434</v>
      </c>
      <c r="R73" s="17" t="s">
        <v>438</v>
      </c>
    </row>
    <row r="74" spans="1:18" ht="17.25" customHeight="1">
      <c r="A74" s="17">
        <v>66</v>
      </c>
      <c r="B74" s="23" t="s">
        <v>225</v>
      </c>
      <c r="C74" s="165" t="s">
        <v>333</v>
      </c>
      <c r="D74" s="30" t="s">
        <v>392</v>
      </c>
      <c r="E74" s="32">
        <v>130001010</v>
      </c>
      <c r="F74" s="33" t="s">
        <v>225</v>
      </c>
      <c r="G74" s="3">
        <v>55200</v>
      </c>
      <c r="H74" s="23">
        <v>1.27</v>
      </c>
      <c r="I74" s="265">
        <f t="shared" si="4"/>
        <v>70104</v>
      </c>
      <c r="J74" s="266">
        <f>62725+7379+0</f>
        <v>70104</v>
      </c>
      <c r="K74" s="265">
        <v>70104</v>
      </c>
      <c r="L74" s="267">
        <v>0</v>
      </c>
      <c r="M74" s="271">
        <v>94</v>
      </c>
      <c r="N74" s="3">
        <v>1959</v>
      </c>
      <c r="O74" s="204">
        <v>34845</v>
      </c>
      <c r="P74" s="12" t="s">
        <v>434</v>
      </c>
      <c r="Q74" s="12" t="s">
        <v>434</v>
      </c>
      <c r="R74" s="17" t="s">
        <v>438</v>
      </c>
    </row>
    <row r="75" spans="1:18" ht="16.5" customHeight="1">
      <c r="A75" s="17">
        <v>67</v>
      </c>
      <c r="B75" s="23" t="s">
        <v>226</v>
      </c>
      <c r="C75" s="165" t="s">
        <v>333</v>
      </c>
      <c r="D75" s="30" t="s">
        <v>393</v>
      </c>
      <c r="E75" s="32">
        <v>130001010</v>
      </c>
      <c r="F75" s="33" t="s">
        <v>226</v>
      </c>
      <c r="G75" s="3">
        <v>72375</v>
      </c>
      <c r="H75" s="23">
        <v>1.27</v>
      </c>
      <c r="I75" s="265">
        <f t="shared" si="4"/>
        <v>91916.25</v>
      </c>
      <c r="J75" s="266">
        <f>69794.25+7368+7368+7368</f>
        <v>91898.25</v>
      </c>
      <c r="K75" s="265">
        <v>91916.25</v>
      </c>
      <c r="L75" s="267">
        <v>0</v>
      </c>
      <c r="M75" s="271">
        <v>114</v>
      </c>
      <c r="N75" s="3">
        <v>1957</v>
      </c>
      <c r="O75" s="204">
        <v>34845</v>
      </c>
      <c r="P75" s="12" t="s">
        <v>434</v>
      </c>
      <c r="Q75" s="12" t="s">
        <v>434</v>
      </c>
      <c r="R75" s="17" t="s">
        <v>438</v>
      </c>
    </row>
    <row r="76" spans="1:18" ht="18.75" customHeight="1">
      <c r="A76" s="17">
        <v>68</v>
      </c>
      <c r="B76" s="23" t="s">
        <v>227</v>
      </c>
      <c r="C76" s="165" t="s">
        <v>333</v>
      </c>
      <c r="D76" s="26" t="s">
        <v>394</v>
      </c>
      <c r="E76" s="32">
        <v>130001010</v>
      </c>
      <c r="F76" s="33" t="s">
        <v>227</v>
      </c>
      <c r="G76" s="3">
        <v>72826</v>
      </c>
      <c r="H76" s="23">
        <v>1.27</v>
      </c>
      <c r="I76" s="265">
        <f t="shared" si="4"/>
        <v>92489.02</v>
      </c>
      <c r="J76" s="266">
        <f>70292.02+7404+7404+7389</f>
        <v>92489.02</v>
      </c>
      <c r="K76" s="265">
        <v>92489.02</v>
      </c>
      <c r="L76" s="267">
        <v>0</v>
      </c>
      <c r="M76" s="271">
        <v>111</v>
      </c>
      <c r="N76" s="3">
        <v>1960</v>
      </c>
      <c r="O76" s="204">
        <v>34845</v>
      </c>
      <c r="P76" s="12" t="s">
        <v>434</v>
      </c>
      <c r="Q76" s="12" t="s">
        <v>434</v>
      </c>
      <c r="R76" s="17" t="s">
        <v>438</v>
      </c>
    </row>
    <row r="77" spans="1:18" ht="18" customHeight="1">
      <c r="A77" s="17">
        <v>69</v>
      </c>
      <c r="B77" s="23" t="s">
        <v>228</v>
      </c>
      <c r="C77" s="165" t="s">
        <v>333</v>
      </c>
      <c r="D77" s="30" t="s">
        <v>395</v>
      </c>
      <c r="E77" s="32">
        <v>130001010</v>
      </c>
      <c r="F77" s="33" t="s">
        <v>228</v>
      </c>
      <c r="G77" s="3">
        <v>55200</v>
      </c>
      <c r="H77" s="23">
        <v>1.27</v>
      </c>
      <c r="I77" s="265">
        <f t="shared" si="4"/>
        <v>70104</v>
      </c>
      <c r="J77" s="266">
        <f>70104</f>
        <v>70104</v>
      </c>
      <c r="K77" s="265">
        <v>70104</v>
      </c>
      <c r="L77" s="267">
        <v>0</v>
      </c>
      <c r="M77" s="271">
        <v>114</v>
      </c>
      <c r="N77" s="3">
        <v>1957</v>
      </c>
      <c r="O77" s="204">
        <v>34845</v>
      </c>
      <c r="P77" s="12" t="s">
        <v>434</v>
      </c>
      <c r="Q77" s="12" t="s">
        <v>434</v>
      </c>
      <c r="R77" s="17" t="s">
        <v>438</v>
      </c>
    </row>
    <row r="78" spans="1:18" ht="15.75" customHeight="1">
      <c r="A78" s="17">
        <v>70</v>
      </c>
      <c r="B78" s="23" t="s">
        <v>229</v>
      </c>
      <c r="C78" s="165" t="s">
        <v>333</v>
      </c>
      <c r="D78" s="26" t="s">
        <v>396</v>
      </c>
      <c r="E78" s="32">
        <v>130001010</v>
      </c>
      <c r="F78" s="33" t="s">
        <v>229</v>
      </c>
      <c r="G78" s="3">
        <v>55357</v>
      </c>
      <c r="H78" s="23">
        <v>1.27</v>
      </c>
      <c r="I78" s="265">
        <f t="shared" si="4"/>
        <v>70303.39</v>
      </c>
      <c r="J78" s="266">
        <f>53430.39+5628+5628+5617</f>
        <v>70303.39</v>
      </c>
      <c r="K78" s="265">
        <v>70303.39</v>
      </c>
      <c r="L78" s="267">
        <v>0</v>
      </c>
      <c r="M78" s="271">
        <v>80</v>
      </c>
      <c r="N78" s="3">
        <v>1960</v>
      </c>
      <c r="O78" s="204">
        <v>34845</v>
      </c>
      <c r="P78" s="12" t="s">
        <v>434</v>
      </c>
      <c r="Q78" s="12" t="s">
        <v>434</v>
      </c>
      <c r="R78" s="17" t="s">
        <v>438</v>
      </c>
    </row>
    <row r="79" spans="1:18" ht="17.25" customHeight="1">
      <c r="A79" s="17">
        <v>71</v>
      </c>
      <c r="B79" s="23" t="s">
        <v>230</v>
      </c>
      <c r="C79" s="165" t="s">
        <v>333</v>
      </c>
      <c r="D79" s="30" t="s">
        <v>397</v>
      </c>
      <c r="E79" s="32">
        <v>130001010</v>
      </c>
      <c r="F79" s="33" t="s">
        <v>230</v>
      </c>
      <c r="G79" s="3">
        <v>59785</v>
      </c>
      <c r="H79" s="23">
        <v>1.27</v>
      </c>
      <c r="I79" s="265">
        <f t="shared" si="4"/>
        <v>75926.95</v>
      </c>
      <c r="J79" s="266">
        <f>53429.95+5628+5628+5628</f>
        <v>70313.95</v>
      </c>
      <c r="K79" s="265">
        <v>75926.95</v>
      </c>
      <c r="L79" s="267">
        <v>0</v>
      </c>
      <c r="M79" s="271">
        <v>80</v>
      </c>
      <c r="N79" s="3">
        <v>1961</v>
      </c>
      <c r="O79" s="204">
        <v>34845</v>
      </c>
      <c r="P79" s="12" t="s">
        <v>434</v>
      </c>
      <c r="Q79" s="12" t="s">
        <v>434</v>
      </c>
      <c r="R79" s="17" t="s">
        <v>438</v>
      </c>
    </row>
    <row r="80" spans="1:18" ht="18" customHeight="1">
      <c r="A80" s="17">
        <v>72</v>
      </c>
      <c r="B80" s="23" t="s">
        <v>232</v>
      </c>
      <c r="C80" s="165" t="s">
        <v>333</v>
      </c>
      <c r="D80" s="26" t="s">
        <v>398</v>
      </c>
      <c r="E80" s="32">
        <v>130001010</v>
      </c>
      <c r="F80" s="33" t="s">
        <v>232</v>
      </c>
      <c r="G80" s="3">
        <v>62559</v>
      </c>
      <c r="H80" s="23">
        <v>1.27</v>
      </c>
      <c r="I80" s="265">
        <f t="shared" si="4"/>
        <v>79449.93000000001</v>
      </c>
      <c r="J80" s="266">
        <f>55908.93+5880+5880+5880</f>
        <v>73548.93</v>
      </c>
      <c r="K80" s="265">
        <v>79449.93</v>
      </c>
      <c r="L80" s="267">
        <v>0</v>
      </c>
      <c r="M80" s="271">
        <v>96</v>
      </c>
      <c r="N80" s="3">
        <v>1961</v>
      </c>
      <c r="O80" s="204">
        <v>34845</v>
      </c>
      <c r="P80" s="12" t="s">
        <v>434</v>
      </c>
      <c r="Q80" s="12" t="s">
        <v>434</v>
      </c>
      <c r="R80" s="17" t="s">
        <v>438</v>
      </c>
    </row>
    <row r="81" spans="1:18" ht="18" customHeight="1">
      <c r="A81" s="17">
        <v>73</v>
      </c>
      <c r="B81" s="23" t="s">
        <v>231</v>
      </c>
      <c r="C81" s="165" t="s">
        <v>333</v>
      </c>
      <c r="D81" s="30" t="s">
        <v>399</v>
      </c>
      <c r="E81" s="32">
        <v>130001010</v>
      </c>
      <c r="F81" s="33" t="s">
        <v>231</v>
      </c>
      <c r="G81" s="3">
        <v>71018</v>
      </c>
      <c r="H81" s="23">
        <v>1.27</v>
      </c>
      <c r="I81" s="265">
        <f t="shared" si="4"/>
        <v>90192.86</v>
      </c>
      <c r="J81" s="266">
        <f>63468.86+6684+6684+6684</f>
        <v>83520.86</v>
      </c>
      <c r="K81" s="265">
        <v>90192.86</v>
      </c>
      <c r="L81" s="267">
        <v>0</v>
      </c>
      <c r="M81" s="271">
        <v>96</v>
      </c>
      <c r="N81" s="3">
        <v>1961</v>
      </c>
      <c r="O81" s="204">
        <v>34845</v>
      </c>
      <c r="P81" s="12" t="s">
        <v>434</v>
      </c>
      <c r="Q81" s="12" t="s">
        <v>434</v>
      </c>
      <c r="R81" s="17" t="s">
        <v>438</v>
      </c>
    </row>
    <row r="82" spans="1:18" ht="19.5" customHeight="1">
      <c r="A82" s="17">
        <v>74</v>
      </c>
      <c r="B82" s="23" t="s">
        <v>233</v>
      </c>
      <c r="C82" s="165" t="s">
        <v>333</v>
      </c>
      <c r="D82" s="29" t="s">
        <v>400</v>
      </c>
      <c r="E82" s="32">
        <v>130001010</v>
      </c>
      <c r="F82" s="33" t="s">
        <v>233</v>
      </c>
      <c r="G82" s="3">
        <v>77798</v>
      </c>
      <c r="H82" s="23">
        <v>1.27</v>
      </c>
      <c r="I82" s="265">
        <f t="shared" si="4"/>
        <v>98803.46</v>
      </c>
      <c r="J82" s="266">
        <f>75090.46+7908+7908+7897</f>
        <v>98803.46</v>
      </c>
      <c r="K82" s="265">
        <v>98803.46</v>
      </c>
      <c r="L82" s="267">
        <v>0</v>
      </c>
      <c r="M82" s="271">
        <v>110</v>
      </c>
      <c r="N82" s="3">
        <v>1960</v>
      </c>
      <c r="O82" s="204">
        <v>34845</v>
      </c>
      <c r="P82" s="12" t="s">
        <v>434</v>
      </c>
      <c r="Q82" s="12" t="s">
        <v>434</v>
      </c>
      <c r="R82" s="17" t="s">
        <v>438</v>
      </c>
    </row>
    <row r="83" spans="1:18" ht="18.75" customHeight="1">
      <c r="A83" s="17">
        <v>75</v>
      </c>
      <c r="B83" s="23" t="s">
        <v>234</v>
      </c>
      <c r="C83" s="165" t="s">
        <v>333</v>
      </c>
      <c r="D83" s="29" t="s">
        <v>401</v>
      </c>
      <c r="E83" s="32">
        <v>130001010</v>
      </c>
      <c r="F83" s="33" t="s">
        <v>234</v>
      </c>
      <c r="G83" s="3">
        <v>63913</v>
      </c>
      <c r="H83" s="23">
        <v>1.27</v>
      </c>
      <c r="I83" s="265">
        <f t="shared" si="4"/>
        <v>81169.51</v>
      </c>
      <c r="J83" s="266">
        <f>57118.51+6012+6012+6012</f>
        <v>75154.51000000001</v>
      </c>
      <c r="K83" s="265">
        <v>81169.51</v>
      </c>
      <c r="L83" s="267">
        <v>0</v>
      </c>
      <c r="M83" s="271">
        <v>96</v>
      </c>
      <c r="N83" s="3">
        <v>1961</v>
      </c>
      <c r="O83" s="204">
        <v>34845</v>
      </c>
      <c r="P83" s="12" t="s">
        <v>434</v>
      </c>
      <c r="Q83" s="12" t="s">
        <v>434</v>
      </c>
      <c r="R83" s="17" t="s">
        <v>438</v>
      </c>
    </row>
    <row r="84" spans="1:18" ht="18" customHeight="1">
      <c r="A84" s="17">
        <v>76</v>
      </c>
      <c r="B84" s="23" t="s">
        <v>235</v>
      </c>
      <c r="C84" s="165" t="s">
        <v>333</v>
      </c>
      <c r="D84" s="26" t="s">
        <v>402</v>
      </c>
      <c r="E84" s="32">
        <v>130001010</v>
      </c>
      <c r="F84" s="33" t="s">
        <v>235</v>
      </c>
      <c r="G84" s="3">
        <v>71929</v>
      </c>
      <c r="H84" s="23">
        <v>1.27</v>
      </c>
      <c r="I84" s="265">
        <f t="shared" si="4"/>
        <v>91349.83</v>
      </c>
      <c r="J84" s="266">
        <f>64282.83+6768+6768+6768</f>
        <v>84586.83</v>
      </c>
      <c r="K84" s="265">
        <v>91349.83</v>
      </c>
      <c r="L84" s="267">
        <v>0</v>
      </c>
      <c r="M84" s="271">
        <v>96</v>
      </c>
      <c r="N84" s="3">
        <v>1961</v>
      </c>
      <c r="O84" s="204">
        <v>34845</v>
      </c>
      <c r="P84" s="12" t="s">
        <v>434</v>
      </c>
      <c r="Q84" s="12" t="s">
        <v>434</v>
      </c>
      <c r="R84" s="17" t="s">
        <v>438</v>
      </c>
    </row>
    <row r="85" spans="1:18" ht="18.75" customHeight="1">
      <c r="A85" s="17">
        <v>77</v>
      </c>
      <c r="B85" s="23" t="s">
        <v>236</v>
      </c>
      <c r="C85" s="165" t="s">
        <v>333</v>
      </c>
      <c r="D85" s="30" t="s">
        <v>403</v>
      </c>
      <c r="E85" s="32">
        <v>130001010</v>
      </c>
      <c r="F85" s="33" t="s">
        <v>236</v>
      </c>
      <c r="G85" s="3">
        <v>61931</v>
      </c>
      <c r="H85" s="23">
        <v>1.27</v>
      </c>
      <c r="I85" s="265">
        <f t="shared" si="4"/>
        <v>78652.37</v>
      </c>
      <c r="J85" s="266">
        <f>64973.37+6840+6839</f>
        <v>78652.37</v>
      </c>
      <c r="K85" s="265">
        <v>78652.37</v>
      </c>
      <c r="L85" s="267">
        <v>0</v>
      </c>
      <c r="M85" s="271">
        <v>110</v>
      </c>
      <c r="N85" s="3">
        <v>1959</v>
      </c>
      <c r="O85" s="204">
        <v>34845</v>
      </c>
      <c r="P85" s="12" t="s">
        <v>434</v>
      </c>
      <c r="Q85" s="12" t="s">
        <v>434</v>
      </c>
      <c r="R85" s="17" t="s">
        <v>438</v>
      </c>
    </row>
    <row r="86" spans="1:18" ht="18.75" customHeight="1">
      <c r="A86" s="17">
        <v>78</v>
      </c>
      <c r="B86" s="23" t="s">
        <v>237</v>
      </c>
      <c r="C86" s="165" t="s">
        <v>333</v>
      </c>
      <c r="D86" s="26" t="s">
        <v>569</v>
      </c>
      <c r="E86" s="32">
        <v>130001010</v>
      </c>
      <c r="F86" s="33" t="s">
        <v>237</v>
      </c>
      <c r="G86" s="3">
        <v>74223</v>
      </c>
      <c r="H86" s="23">
        <v>1.27</v>
      </c>
      <c r="I86" s="265">
        <f t="shared" si="4"/>
        <v>94263.21</v>
      </c>
      <c r="J86" s="266">
        <f>66333.21+6984+6984+6984</f>
        <v>87285.21</v>
      </c>
      <c r="K86" s="265">
        <v>94263.21</v>
      </c>
      <c r="L86" s="267">
        <v>0</v>
      </c>
      <c r="M86" s="271">
        <v>110</v>
      </c>
      <c r="N86" s="3">
        <v>1961</v>
      </c>
      <c r="O86" s="204">
        <v>34845</v>
      </c>
      <c r="P86" s="12" t="s">
        <v>434</v>
      </c>
      <c r="Q86" s="12" t="s">
        <v>434</v>
      </c>
      <c r="R86" s="17" t="s">
        <v>438</v>
      </c>
    </row>
    <row r="87" spans="1:18" ht="17.25" customHeight="1">
      <c r="A87" s="17">
        <v>79</v>
      </c>
      <c r="B87" s="23" t="s">
        <v>238</v>
      </c>
      <c r="C87" s="165" t="s">
        <v>333</v>
      </c>
      <c r="D87" s="30" t="s">
        <v>404</v>
      </c>
      <c r="E87" s="32">
        <v>130001010</v>
      </c>
      <c r="F87" s="33" t="s">
        <v>238</v>
      </c>
      <c r="G87" s="3">
        <v>75674</v>
      </c>
      <c r="H87" s="23">
        <v>1.27</v>
      </c>
      <c r="I87" s="265">
        <f t="shared" si="4"/>
        <v>96105.98</v>
      </c>
      <c r="J87" s="266">
        <f>67629.98+7116+7116+7116</f>
        <v>88977.98</v>
      </c>
      <c r="K87" s="265">
        <v>96105.98</v>
      </c>
      <c r="L87" s="267">
        <v>0</v>
      </c>
      <c r="M87" s="271">
        <v>110</v>
      </c>
      <c r="N87" s="3">
        <v>1961</v>
      </c>
      <c r="O87" s="204">
        <v>34845</v>
      </c>
      <c r="P87" s="12" t="s">
        <v>434</v>
      </c>
      <c r="Q87" s="12" t="s">
        <v>434</v>
      </c>
      <c r="R87" s="17" t="s">
        <v>438</v>
      </c>
    </row>
    <row r="88" spans="1:18" ht="18" customHeight="1">
      <c r="A88" s="17">
        <v>80</v>
      </c>
      <c r="B88" s="23" t="s">
        <v>239</v>
      </c>
      <c r="C88" s="165" t="s">
        <v>333</v>
      </c>
      <c r="D88" s="30" t="s">
        <v>405</v>
      </c>
      <c r="E88" s="32">
        <v>130001010</v>
      </c>
      <c r="F88" s="33" t="s">
        <v>239</v>
      </c>
      <c r="G88" s="3">
        <v>60328</v>
      </c>
      <c r="H88" s="23">
        <v>1.27</v>
      </c>
      <c r="I88" s="265">
        <f t="shared" si="4"/>
        <v>76616.56</v>
      </c>
      <c r="J88" s="266">
        <f>53915.56+5676+5676+5676</f>
        <v>70943.56</v>
      </c>
      <c r="K88" s="265">
        <v>76616.56</v>
      </c>
      <c r="L88" s="267">
        <v>0</v>
      </c>
      <c r="M88" s="271">
        <v>96</v>
      </c>
      <c r="N88" s="3">
        <v>1961</v>
      </c>
      <c r="O88" s="204">
        <v>34845</v>
      </c>
      <c r="P88" s="12" t="s">
        <v>434</v>
      </c>
      <c r="Q88" s="12" t="s">
        <v>434</v>
      </c>
      <c r="R88" s="17" t="s">
        <v>438</v>
      </c>
    </row>
    <row r="89" spans="1:18" ht="16.5" customHeight="1">
      <c r="A89" s="17">
        <v>81</v>
      </c>
      <c r="B89" s="23" t="s">
        <v>579</v>
      </c>
      <c r="C89" s="165" t="s">
        <v>333</v>
      </c>
      <c r="D89" s="30" t="s">
        <v>406</v>
      </c>
      <c r="E89" s="32">
        <v>130001010</v>
      </c>
      <c r="F89" s="33" t="s">
        <v>240</v>
      </c>
      <c r="G89" s="3">
        <v>68725</v>
      </c>
      <c r="H89" s="23">
        <v>1.27</v>
      </c>
      <c r="I89" s="265">
        <f t="shared" si="4"/>
        <v>87280.75</v>
      </c>
      <c r="J89" s="266">
        <f>66333.75+6984+6984+6979</f>
        <v>87280.75</v>
      </c>
      <c r="K89" s="265">
        <v>87280.75</v>
      </c>
      <c r="L89" s="267">
        <v>0</v>
      </c>
      <c r="M89" s="271">
        <v>110</v>
      </c>
      <c r="N89" s="3">
        <v>1961</v>
      </c>
      <c r="O89" s="204">
        <v>34845</v>
      </c>
      <c r="P89" s="12" t="s">
        <v>434</v>
      </c>
      <c r="Q89" s="12" t="s">
        <v>434</v>
      </c>
      <c r="R89" s="17" t="s">
        <v>438</v>
      </c>
    </row>
    <row r="90" spans="1:18" ht="15" customHeight="1">
      <c r="A90" s="17">
        <v>82</v>
      </c>
      <c r="B90" s="23" t="s">
        <v>241</v>
      </c>
      <c r="C90" s="165" t="s">
        <v>333</v>
      </c>
      <c r="D90" s="26" t="s">
        <v>570</v>
      </c>
      <c r="E90" s="32">
        <v>130001010</v>
      </c>
      <c r="F90" s="33" t="s">
        <v>241</v>
      </c>
      <c r="G90" s="3">
        <v>74223</v>
      </c>
      <c r="H90" s="23">
        <v>1.27</v>
      </c>
      <c r="I90" s="265">
        <f t="shared" si="4"/>
        <v>94263.21</v>
      </c>
      <c r="J90" s="266">
        <f>66333.21+6984+6984+6984</f>
        <v>87285.21</v>
      </c>
      <c r="K90" s="265">
        <v>94263.21</v>
      </c>
      <c r="L90" s="267">
        <v>0</v>
      </c>
      <c r="M90" s="271">
        <v>110</v>
      </c>
      <c r="N90" s="3">
        <v>1961</v>
      </c>
      <c r="O90" s="204">
        <v>34845</v>
      </c>
      <c r="P90" s="12" t="s">
        <v>434</v>
      </c>
      <c r="Q90" s="12" t="s">
        <v>434</v>
      </c>
      <c r="R90" s="17" t="s">
        <v>438</v>
      </c>
    </row>
    <row r="91" spans="1:18" ht="17.25" customHeight="1">
      <c r="A91" s="17">
        <v>83</v>
      </c>
      <c r="B91" s="23" t="s">
        <v>242</v>
      </c>
      <c r="C91" s="165" t="s">
        <v>333</v>
      </c>
      <c r="D91" s="30" t="s">
        <v>408</v>
      </c>
      <c r="E91" s="32">
        <v>130001010</v>
      </c>
      <c r="F91" s="33" t="s">
        <v>242</v>
      </c>
      <c r="G91" s="3">
        <v>65633</v>
      </c>
      <c r="H91" s="23">
        <v>1.27</v>
      </c>
      <c r="I91" s="265">
        <v>41676.96</v>
      </c>
      <c r="J91" s="266">
        <f>58655.91+6180+6180+6180</f>
        <v>77195.91</v>
      </c>
      <c r="K91" s="265">
        <v>41676.96</v>
      </c>
      <c r="L91" s="267">
        <v>0</v>
      </c>
      <c r="M91" s="271">
        <v>40</v>
      </c>
      <c r="N91" s="3">
        <v>1961</v>
      </c>
      <c r="O91" s="204">
        <v>34845</v>
      </c>
      <c r="P91" s="12" t="s">
        <v>434</v>
      </c>
      <c r="Q91" s="12" t="s">
        <v>434</v>
      </c>
      <c r="R91" s="17" t="s">
        <v>438</v>
      </c>
    </row>
    <row r="92" spans="1:18" ht="17.25" customHeight="1">
      <c r="A92" s="17">
        <v>84</v>
      </c>
      <c r="B92" s="23" t="s">
        <v>243</v>
      </c>
      <c r="C92" s="165" t="s">
        <v>333</v>
      </c>
      <c r="D92" s="29" t="s">
        <v>407</v>
      </c>
      <c r="E92" s="32">
        <v>130001010</v>
      </c>
      <c r="F92" s="33" t="s">
        <v>243</v>
      </c>
      <c r="G92" s="3">
        <v>78012</v>
      </c>
      <c r="H92" s="23">
        <v>1.27</v>
      </c>
      <c r="I92" s="265">
        <f t="shared" si="4"/>
        <v>99075.24</v>
      </c>
      <c r="J92" s="266">
        <f>64911.24+6828+6828+6828</f>
        <v>85395.23999999999</v>
      </c>
      <c r="K92" s="265">
        <v>99075.24</v>
      </c>
      <c r="L92" s="267">
        <v>0</v>
      </c>
      <c r="M92" s="271">
        <v>80</v>
      </c>
      <c r="N92" s="3">
        <v>1962</v>
      </c>
      <c r="O92" s="204">
        <v>34845</v>
      </c>
      <c r="P92" s="12" t="s">
        <v>434</v>
      </c>
      <c r="Q92" s="12" t="s">
        <v>434</v>
      </c>
      <c r="R92" s="17" t="s">
        <v>438</v>
      </c>
    </row>
    <row r="93" spans="1:18" ht="15.75" customHeight="1">
      <c r="A93" s="17">
        <v>85</v>
      </c>
      <c r="B93" s="23" t="s">
        <v>244</v>
      </c>
      <c r="C93" s="165" t="s">
        <v>333</v>
      </c>
      <c r="D93" s="30" t="s">
        <v>409</v>
      </c>
      <c r="E93" s="32">
        <v>130001010</v>
      </c>
      <c r="F93" s="33" t="s">
        <v>244</v>
      </c>
      <c r="G93" s="3">
        <v>82353</v>
      </c>
      <c r="H93" s="23">
        <v>1.27</v>
      </c>
      <c r="I93" s="265">
        <f t="shared" si="4"/>
        <v>104588.31</v>
      </c>
      <c r="J93" s="266">
        <f>73599.31+7752+7752+7752</f>
        <v>96855.31</v>
      </c>
      <c r="K93" s="265">
        <v>104588.31</v>
      </c>
      <c r="L93" s="267">
        <v>0</v>
      </c>
      <c r="M93" s="271">
        <v>80</v>
      </c>
      <c r="N93" s="3">
        <v>1961</v>
      </c>
      <c r="O93" s="204">
        <v>34845</v>
      </c>
      <c r="P93" s="12" t="s">
        <v>434</v>
      </c>
      <c r="Q93" s="12" t="s">
        <v>434</v>
      </c>
      <c r="R93" s="17" t="s">
        <v>438</v>
      </c>
    </row>
    <row r="94" spans="1:18" ht="15.75" customHeight="1">
      <c r="A94" s="17">
        <v>86</v>
      </c>
      <c r="B94" s="23" t="s">
        <v>245</v>
      </c>
      <c r="C94" s="165" t="s">
        <v>333</v>
      </c>
      <c r="D94" s="26" t="s">
        <v>571</v>
      </c>
      <c r="E94" s="32">
        <v>130001010</v>
      </c>
      <c r="F94" s="33" t="s">
        <v>245</v>
      </c>
      <c r="G94" s="3">
        <v>77194</v>
      </c>
      <c r="H94" s="23">
        <v>1.27</v>
      </c>
      <c r="I94" s="265">
        <f t="shared" si="4"/>
        <v>98036.38</v>
      </c>
      <c r="J94" s="266">
        <f>74507.38+7848+7848+7833</f>
        <v>98036.38</v>
      </c>
      <c r="K94" s="265">
        <v>98036.38</v>
      </c>
      <c r="L94" s="267">
        <v>0</v>
      </c>
      <c r="M94" s="271">
        <v>80</v>
      </c>
      <c r="N94" s="3">
        <v>1960</v>
      </c>
      <c r="O94" s="204">
        <v>34845</v>
      </c>
      <c r="P94" s="12" t="s">
        <v>434</v>
      </c>
      <c r="Q94" s="12" t="s">
        <v>434</v>
      </c>
      <c r="R94" s="17" t="s">
        <v>438</v>
      </c>
    </row>
    <row r="95" spans="1:18" ht="15.75" customHeight="1">
      <c r="A95" s="17">
        <v>87</v>
      </c>
      <c r="B95" s="23" t="s">
        <v>246</v>
      </c>
      <c r="C95" s="165" t="s">
        <v>333</v>
      </c>
      <c r="D95" s="29" t="s">
        <v>410</v>
      </c>
      <c r="E95" s="32">
        <v>130001010</v>
      </c>
      <c r="F95" s="33" t="s">
        <v>246</v>
      </c>
      <c r="G95" s="3">
        <v>48657</v>
      </c>
      <c r="H95" s="23">
        <v>1.27</v>
      </c>
      <c r="I95" s="265">
        <f t="shared" si="4"/>
        <v>61794.39</v>
      </c>
      <c r="J95" s="266">
        <f>55909.39+5885+0</f>
        <v>61794.39</v>
      </c>
      <c r="K95" s="265">
        <v>61794.39</v>
      </c>
      <c r="L95" s="267">
        <v>0</v>
      </c>
      <c r="M95" s="271">
        <v>80</v>
      </c>
      <c r="N95" s="3">
        <v>1958</v>
      </c>
      <c r="O95" s="204">
        <v>34845</v>
      </c>
      <c r="P95" s="12" t="s">
        <v>434</v>
      </c>
      <c r="Q95" s="12" t="s">
        <v>434</v>
      </c>
      <c r="R95" s="17" t="s">
        <v>438</v>
      </c>
    </row>
    <row r="96" spans="1:18" ht="17.25" customHeight="1">
      <c r="A96" s="17">
        <v>88</v>
      </c>
      <c r="B96" s="23" t="s">
        <v>247</v>
      </c>
      <c r="C96" s="165" t="s">
        <v>333</v>
      </c>
      <c r="D96" s="26" t="s">
        <v>426</v>
      </c>
      <c r="E96" s="32">
        <v>130001010</v>
      </c>
      <c r="F96" s="33" t="s">
        <v>247</v>
      </c>
      <c r="G96" s="3">
        <v>46100</v>
      </c>
      <c r="H96" s="23">
        <v>1.27</v>
      </c>
      <c r="I96" s="265">
        <f t="shared" si="4"/>
        <v>58547</v>
      </c>
      <c r="J96" s="266">
        <f>58547</f>
        <v>58547</v>
      </c>
      <c r="K96" s="265">
        <v>58547</v>
      </c>
      <c r="L96" s="267">
        <v>0</v>
      </c>
      <c r="M96" s="271">
        <v>114</v>
      </c>
      <c r="N96" s="3">
        <v>1955</v>
      </c>
      <c r="O96" s="204">
        <v>34845</v>
      </c>
      <c r="P96" s="12" t="s">
        <v>434</v>
      </c>
      <c r="Q96" s="12" t="s">
        <v>434</v>
      </c>
      <c r="R96" s="17" t="s">
        <v>438</v>
      </c>
    </row>
    <row r="97" spans="1:18" ht="18.75" customHeight="1">
      <c r="A97" s="17">
        <v>89</v>
      </c>
      <c r="B97" s="23" t="s">
        <v>248</v>
      </c>
      <c r="C97" s="165" t="s">
        <v>333</v>
      </c>
      <c r="D97" s="30" t="s">
        <v>427</v>
      </c>
      <c r="E97" s="32">
        <v>130001010</v>
      </c>
      <c r="F97" s="33" t="s">
        <v>248</v>
      </c>
      <c r="G97" s="3">
        <v>44477</v>
      </c>
      <c r="H97" s="23">
        <v>1.27</v>
      </c>
      <c r="I97" s="265">
        <f t="shared" si="4"/>
        <v>56485.79</v>
      </c>
      <c r="J97" s="266">
        <v>56485.79</v>
      </c>
      <c r="K97" s="265">
        <v>56485.79</v>
      </c>
      <c r="L97" s="267">
        <v>0</v>
      </c>
      <c r="M97" s="271">
        <v>80</v>
      </c>
      <c r="N97" s="100">
        <v>1955</v>
      </c>
      <c r="O97" s="204">
        <v>34845</v>
      </c>
      <c r="P97" s="12" t="s">
        <v>434</v>
      </c>
      <c r="Q97" s="12" t="s">
        <v>434</v>
      </c>
      <c r="R97" s="17" t="s">
        <v>438</v>
      </c>
    </row>
    <row r="98" spans="1:18" ht="18.75" customHeight="1">
      <c r="A98" s="17">
        <v>90</v>
      </c>
      <c r="B98" s="23" t="s">
        <v>249</v>
      </c>
      <c r="C98" s="165" t="s">
        <v>333</v>
      </c>
      <c r="D98" s="26" t="s">
        <v>411</v>
      </c>
      <c r="E98" s="32">
        <v>130001010</v>
      </c>
      <c r="F98" s="33" t="s">
        <v>249</v>
      </c>
      <c r="G98" s="3">
        <v>708935</v>
      </c>
      <c r="H98" s="23">
        <v>1.27</v>
      </c>
      <c r="I98" s="265">
        <f t="shared" si="4"/>
        <v>900347.4500000001</v>
      </c>
      <c r="J98" s="266">
        <f>206103.45+21696+21696+21696</f>
        <v>271191.45</v>
      </c>
      <c r="K98" s="265">
        <v>522201.52</v>
      </c>
      <c r="L98" s="267">
        <f aca="true" t="shared" si="5" ref="L98:L104">I98-K98</f>
        <v>378145.93000000005</v>
      </c>
      <c r="M98" s="271">
        <v>136</v>
      </c>
      <c r="N98" s="3">
        <v>1989</v>
      </c>
      <c r="O98" s="204">
        <v>34845</v>
      </c>
      <c r="P98" s="12" t="s">
        <v>434</v>
      </c>
      <c r="Q98" s="12" t="s">
        <v>434</v>
      </c>
      <c r="R98" s="17" t="s">
        <v>438</v>
      </c>
    </row>
    <row r="99" spans="1:18" ht="18.75" customHeight="1">
      <c r="A99" s="17">
        <v>91</v>
      </c>
      <c r="B99" s="23" t="s">
        <v>250</v>
      </c>
      <c r="C99" s="165" t="s">
        <v>333</v>
      </c>
      <c r="D99" s="30" t="s">
        <v>412</v>
      </c>
      <c r="E99" s="32">
        <v>130001010</v>
      </c>
      <c r="F99" s="33" t="s">
        <v>250</v>
      </c>
      <c r="G99" s="3">
        <v>507711</v>
      </c>
      <c r="H99" s="23">
        <v>1.27</v>
      </c>
      <c r="I99" s="265">
        <f t="shared" si="4"/>
        <v>644792.97</v>
      </c>
      <c r="J99" s="266">
        <f>159104.97+16752+16752+16752</f>
        <v>209360.97</v>
      </c>
      <c r="K99" s="265">
        <v>412667.5</v>
      </c>
      <c r="L99" s="267">
        <f t="shared" si="5"/>
        <v>232125.46999999997</v>
      </c>
      <c r="M99" s="271">
        <v>101</v>
      </c>
      <c r="N99" s="3">
        <v>1986</v>
      </c>
      <c r="O99" s="204">
        <v>34845</v>
      </c>
      <c r="P99" s="12" t="s">
        <v>434</v>
      </c>
      <c r="Q99" s="12" t="s">
        <v>434</v>
      </c>
      <c r="R99" s="17" t="s">
        <v>438</v>
      </c>
    </row>
    <row r="100" spans="1:18" ht="17.25" customHeight="1">
      <c r="A100" s="17">
        <v>92</v>
      </c>
      <c r="B100" s="23" t="s">
        <v>251</v>
      </c>
      <c r="C100" s="165" t="s">
        <v>333</v>
      </c>
      <c r="D100" s="26" t="s">
        <v>413</v>
      </c>
      <c r="E100" s="32">
        <v>130001010</v>
      </c>
      <c r="F100" s="33" t="s">
        <v>251</v>
      </c>
      <c r="G100" s="3">
        <v>478887</v>
      </c>
      <c r="H100" s="23">
        <v>1.27</v>
      </c>
      <c r="I100" s="265">
        <f t="shared" si="4"/>
        <v>608186.49</v>
      </c>
      <c r="J100" s="266">
        <f>154073.49+16224+16224+16224</f>
        <v>202745.49</v>
      </c>
      <c r="K100" s="265">
        <v>401403.08</v>
      </c>
      <c r="L100" s="267">
        <f t="shared" si="5"/>
        <v>206783.40999999997</v>
      </c>
      <c r="M100" s="271">
        <v>101</v>
      </c>
      <c r="N100" s="3">
        <v>1985</v>
      </c>
      <c r="O100" s="204">
        <v>34845</v>
      </c>
      <c r="P100" s="12" t="s">
        <v>434</v>
      </c>
      <c r="Q100" s="12" t="s">
        <v>434</v>
      </c>
      <c r="R100" s="17" t="s">
        <v>438</v>
      </c>
    </row>
    <row r="101" spans="1:18" ht="17.25" customHeight="1">
      <c r="A101" s="17">
        <v>93</v>
      </c>
      <c r="B101" s="23" t="s">
        <v>252</v>
      </c>
      <c r="C101" s="165" t="s">
        <v>333</v>
      </c>
      <c r="D101" s="30" t="s">
        <v>414</v>
      </c>
      <c r="E101" s="32">
        <v>130001010</v>
      </c>
      <c r="F101" s="33" t="s">
        <v>252</v>
      </c>
      <c r="G101" s="3">
        <v>79584</v>
      </c>
      <c r="H101" s="23">
        <v>1.27</v>
      </c>
      <c r="I101" s="265">
        <f t="shared" si="4"/>
        <v>101071.68000000001</v>
      </c>
      <c r="J101" s="266">
        <f>42674.68+4488+4488+4488</f>
        <v>56138.68</v>
      </c>
      <c r="K101" s="265">
        <v>97028.81</v>
      </c>
      <c r="L101" s="267">
        <f t="shared" si="5"/>
        <v>4042.87000000001</v>
      </c>
      <c r="M101" s="271">
        <v>80</v>
      </c>
      <c r="N101" s="3">
        <v>1970</v>
      </c>
      <c r="O101" s="204">
        <v>34845</v>
      </c>
      <c r="P101" s="12" t="s">
        <v>434</v>
      </c>
      <c r="Q101" s="12" t="s">
        <v>434</v>
      </c>
      <c r="R101" s="17" t="s">
        <v>438</v>
      </c>
    </row>
    <row r="102" spans="1:18" ht="16.5" customHeight="1">
      <c r="A102" s="17">
        <v>94</v>
      </c>
      <c r="B102" s="23" t="s">
        <v>253</v>
      </c>
      <c r="C102" s="165" t="s">
        <v>333</v>
      </c>
      <c r="D102" s="26" t="s">
        <v>415</v>
      </c>
      <c r="E102" s="32">
        <v>130001010</v>
      </c>
      <c r="F102" s="33" t="s">
        <v>253</v>
      </c>
      <c r="G102" s="3">
        <v>79584</v>
      </c>
      <c r="H102" s="23">
        <v>1.27</v>
      </c>
      <c r="I102" s="265">
        <f t="shared" si="4"/>
        <v>101071.68000000001</v>
      </c>
      <c r="J102" s="266">
        <f>42674.68+4488+4488+4488</f>
        <v>56138.68</v>
      </c>
      <c r="K102" s="265">
        <v>97028.81</v>
      </c>
      <c r="L102" s="267">
        <f t="shared" si="5"/>
        <v>4042.87000000001</v>
      </c>
      <c r="M102" s="271">
        <v>80</v>
      </c>
      <c r="N102" s="3">
        <v>1970</v>
      </c>
      <c r="O102" s="204">
        <v>34845</v>
      </c>
      <c r="P102" s="12" t="s">
        <v>434</v>
      </c>
      <c r="Q102" s="12" t="s">
        <v>434</v>
      </c>
      <c r="R102" s="17" t="s">
        <v>438</v>
      </c>
    </row>
    <row r="103" spans="1:18" ht="18" customHeight="1">
      <c r="A103" s="17">
        <v>95</v>
      </c>
      <c r="B103" s="23" t="s">
        <v>254</v>
      </c>
      <c r="C103" s="165" t="s">
        <v>333</v>
      </c>
      <c r="D103" s="30" t="s">
        <v>416</v>
      </c>
      <c r="E103" s="32">
        <v>130001010</v>
      </c>
      <c r="F103" s="33" t="s">
        <v>254</v>
      </c>
      <c r="G103" s="3">
        <v>35673</v>
      </c>
      <c r="H103" s="23">
        <v>1.27</v>
      </c>
      <c r="I103" s="265">
        <f t="shared" si="4"/>
        <v>45304.71</v>
      </c>
      <c r="J103" s="266">
        <f>19571.71+2172+2172+2172</f>
        <v>26087.71</v>
      </c>
      <c r="K103" s="265">
        <v>43492.52</v>
      </c>
      <c r="L103" s="267">
        <f t="shared" si="5"/>
        <v>1812.1900000000023</v>
      </c>
      <c r="M103" s="271">
        <v>80</v>
      </c>
      <c r="N103" s="3">
        <v>1970</v>
      </c>
      <c r="O103" s="204">
        <v>34845</v>
      </c>
      <c r="P103" s="12" t="s">
        <v>434</v>
      </c>
      <c r="Q103" s="12" t="s">
        <v>434</v>
      </c>
      <c r="R103" s="17" t="s">
        <v>438</v>
      </c>
    </row>
    <row r="104" spans="1:18" ht="18" customHeight="1">
      <c r="A104" s="17">
        <v>96</v>
      </c>
      <c r="B104" s="23" t="s">
        <v>255</v>
      </c>
      <c r="C104" s="165" t="s">
        <v>333</v>
      </c>
      <c r="D104" s="26" t="s">
        <v>417</v>
      </c>
      <c r="E104" s="32">
        <v>130001010</v>
      </c>
      <c r="F104" s="33" t="s">
        <v>255</v>
      </c>
      <c r="G104" s="3">
        <v>37206</v>
      </c>
      <c r="H104" s="23">
        <v>1.27</v>
      </c>
      <c r="I104" s="265">
        <f t="shared" si="4"/>
        <v>47251.62</v>
      </c>
      <c r="J104" s="266">
        <f>20412.62+2268+2268+2268</f>
        <v>27216.62</v>
      </c>
      <c r="K104" s="265">
        <v>45361.56</v>
      </c>
      <c r="L104" s="267">
        <f t="shared" si="5"/>
        <v>1890.060000000005</v>
      </c>
      <c r="M104" s="271">
        <v>80</v>
      </c>
      <c r="N104" s="3">
        <v>1970</v>
      </c>
      <c r="O104" s="204">
        <v>34845</v>
      </c>
      <c r="P104" s="12" t="s">
        <v>434</v>
      </c>
      <c r="Q104" s="12" t="s">
        <v>434</v>
      </c>
      <c r="R104" s="17" t="s">
        <v>438</v>
      </c>
    </row>
    <row r="105" spans="1:18" ht="18.75" customHeight="1">
      <c r="A105" s="17">
        <v>97</v>
      </c>
      <c r="B105" s="23" t="s">
        <v>256</v>
      </c>
      <c r="C105" s="165" t="s">
        <v>333</v>
      </c>
      <c r="D105" s="30" t="s">
        <v>418</v>
      </c>
      <c r="E105" s="32">
        <v>130001010</v>
      </c>
      <c r="F105" s="33" t="s">
        <v>256</v>
      </c>
      <c r="G105" s="3">
        <v>35673</v>
      </c>
      <c r="H105" s="23">
        <v>1.27</v>
      </c>
      <c r="I105" s="265">
        <f t="shared" si="4"/>
        <v>45304.71</v>
      </c>
      <c r="J105" s="266">
        <f>19571.71+2172+2172+2172</f>
        <v>26087.71</v>
      </c>
      <c r="K105" s="265">
        <v>45304.71</v>
      </c>
      <c r="L105" s="267">
        <v>0</v>
      </c>
      <c r="M105" s="271">
        <v>80</v>
      </c>
      <c r="N105" s="3">
        <v>1960</v>
      </c>
      <c r="O105" s="204">
        <v>34845</v>
      </c>
      <c r="P105" s="12" t="s">
        <v>434</v>
      </c>
      <c r="Q105" s="12" t="s">
        <v>434</v>
      </c>
      <c r="R105" s="17" t="s">
        <v>438</v>
      </c>
    </row>
    <row r="106" spans="1:18" ht="15.75" customHeight="1">
      <c r="A106" s="17">
        <v>98</v>
      </c>
      <c r="B106" s="23" t="s">
        <v>257</v>
      </c>
      <c r="C106" s="165" t="s">
        <v>333</v>
      </c>
      <c r="D106" s="26" t="s">
        <v>419</v>
      </c>
      <c r="E106" s="32">
        <v>130001010</v>
      </c>
      <c r="F106" s="33" t="s">
        <v>257</v>
      </c>
      <c r="G106" s="3">
        <v>415413</v>
      </c>
      <c r="H106" s="23">
        <v>1.27</v>
      </c>
      <c r="I106" s="265">
        <f t="shared" si="4"/>
        <v>527574.51</v>
      </c>
      <c r="J106" s="266">
        <f>145274.51+15288+15288+15288</f>
        <v>191138.51</v>
      </c>
      <c r="K106" s="265">
        <v>379853.65</v>
      </c>
      <c r="L106" s="267">
        <f>I106-K106</f>
        <v>147720.86</v>
      </c>
      <c r="M106" s="271">
        <v>101</v>
      </c>
      <c r="N106" s="3">
        <v>1982</v>
      </c>
      <c r="O106" s="204">
        <v>34845</v>
      </c>
      <c r="P106" s="12" t="s">
        <v>434</v>
      </c>
      <c r="Q106" s="12" t="s">
        <v>434</v>
      </c>
      <c r="R106" s="17" t="s">
        <v>438</v>
      </c>
    </row>
    <row r="107" spans="1:18" ht="15.75" customHeight="1">
      <c r="A107" s="17">
        <v>99</v>
      </c>
      <c r="B107" s="23" t="s">
        <v>258</v>
      </c>
      <c r="C107" s="165" t="s">
        <v>333</v>
      </c>
      <c r="D107" s="30" t="s">
        <v>572</v>
      </c>
      <c r="E107" s="32">
        <v>130001010</v>
      </c>
      <c r="F107" s="33" t="s">
        <v>258</v>
      </c>
      <c r="G107" s="3">
        <v>349116</v>
      </c>
      <c r="H107" s="23">
        <v>1.27</v>
      </c>
      <c r="I107" s="265">
        <f t="shared" si="4"/>
        <v>443377.32</v>
      </c>
      <c r="J107" s="266">
        <f>125734.32+13236+13236+13236</f>
        <v>165442.32</v>
      </c>
      <c r="K107" s="265">
        <v>328099.22</v>
      </c>
      <c r="L107" s="267">
        <f>I107-K107</f>
        <v>115278.10000000003</v>
      </c>
      <c r="M107" s="271">
        <v>101</v>
      </c>
      <c r="N107" s="3">
        <v>1981</v>
      </c>
      <c r="O107" s="204">
        <v>34845</v>
      </c>
      <c r="P107" s="12" t="s">
        <v>434</v>
      </c>
      <c r="Q107" s="12" t="s">
        <v>434</v>
      </c>
      <c r="R107" s="17" t="s">
        <v>438</v>
      </c>
    </row>
    <row r="108" spans="1:18" ht="16.5" customHeight="1">
      <c r="A108" s="17">
        <v>100</v>
      </c>
      <c r="B108" s="23" t="s">
        <v>259</v>
      </c>
      <c r="C108" s="165" t="s">
        <v>333</v>
      </c>
      <c r="D108" s="29" t="s">
        <v>573</v>
      </c>
      <c r="E108" s="32">
        <v>130001010</v>
      </c>
      <c r="F108" s="33" t="s">
        <v>259</v>
      </c>
      <c r="G108" s="3">
        <v>580128</v>
      </c>
      <c r="H108" s="23">
        <v>1.27</v>
      </c>
      <c r="I108" s="265">
        <f t="shared" si="4"/>
        <v>736762.56</v>
      </c>
      <c r="J108" s="266">
        <f>168656.56+17748+17748+17748</f>
        <v>221900.56</v>
      </c>
      <c r="K108" s="265">
        <v>427322.28</v>
      </c>
      <c r="L108" s="267">
        <f>I108-K108</f>
        <v>309440.28</v>
      </c>
      <c r="M108" s="271">
        <v>101</v>
      </c>
      <c r="N108" s="3">
        <v>1989</v>
      </c>
      <c r="O108" s="204">
        <v>34845</v>
      </c>
      <c r="P108" s="12" t="s">
        <v>434</v>
      </c>
      <c r="Q108" s="12" t="s">
        <v>434</v>
      </c>
      <c r="R108" s="17" t="s">
        <v>438</v>
      </c>
    </row>
    <row r="109" spans="1:18" ht="18.75" customHeight="1">
      <c r="A109" s="17">
        <v>101</v>
      </c>
      <c r="B109" s="23" t="s">
        <v>260</v>
      </c>
      <c r="C109" s="165" t="s">
        <v>333</v>
      </c>
      <c r="D109" s="26" t="s">
        <v>574</v>
      </c>
      <c r="E109" s="32">
        <v>130001010</v>
      </c>
      <c r="F109" s="33" t="s">
        <v>260</v>
      </c>
      <c r="G109" s="3">
        <v>40465</v>
      </c>
      <c r="H109" s="23">
        <v>1.27</v>
      </c>
      <c r="I109" s="265">
        <f t="shared" si="4"/>
        <v>51390.55</v>
      </c>
      <c r="J109" s="266">
        <v>51390.55</v>
      </c>
      <c r="K109" s="265">
        <v>51390.55</v>
      </c>
      <c r="L109" s="267">
        <v>0</v>
      </c>
      <c r="M109" s="271">
        <v>80</v>
      </c>
      <c r="N109" s="3">
        <v>1957</v>
      </c>
      <c r="O109" s="204">
        <v>34845</v>
      </c>
      <c r="P109" s="12" t="s">
        <v>434</v>
      </c>
      <c r="Q109" s="12" t="s">
        <v>434</v>
      </c>
      <c r="R109" s="17" t="s">
        <v>438</v>
      </c>
    </row>
    <row r="110" spans="1:18" ht="15.75" customHeight="1">
      <c r="A110" s="17">
        <v>102</v>
      </c>
      <c r="B110" s="23" t="s">
        <v>261</v>
      </c>
      <c r="C110" s="165" t="s">
        <v>333</v>
      </c>
      <c r="D110" s="30" t="s">
        <v>420</v>
      </c>
      <c r="E110" s="32">
        <v>130001010</v>
      </c>
      <c r="F110" s="33" t="s">
        <v>261</v>
      </c>
      <c r="G110" s="3">
        <v>464372</v>
      </c>
      <c r="H110" s="23">
        <v>1.27</v>
      </c>
      <c r="I110" s="265">
        <f t="shared" si="4"/>
        <v>589752.4400000001</v>
      </c>
      <c r="J110" s="266">
        <f>128796.44+13560+13560+13560</f>
        <v>169476.44</v>
      </c>
      <c r="K110" s="265">
        <v>318466.32</v>
      </c>
      <c r="L110" s="267">
        <f>I110-K110</f>
        <v>271286.12000000005</v>
      </c>
      <c r="M110" s="271">
        <v>136</v>
      </c>
      <c r="N110" s="3">
        <v>1991</v>
      </c>
      <c r="O110" s="204">
        <v>34845</v>
      </c>
      <c r="P110" s="12" t="s">
        <v>434</v>
      </c>
      <c r="Q110" s="12" t="s">
        <v>434</v>
      </c>
      <c r="R110" s="17" t="s">
        <v>438</v>
      </c>
    </row>
    <row r="111" spans="1:18" ht="17.25" customHeight="1" thickBot="1">
      <c r="A111" s="17">
        <v>103</v>
      </c>
      <c r="B111" s="23" t="s">
        <v>262</v>
      </c>
      <c r="C111" s="165" t="s">
        <v>333</v>
      </c>
      <c r="D111" s="26" t="s">
        <v>575</v>
      </c>
      <c r="E111" s="32">
        <v>130001010</v>
      </c>
      <c r="F111" s="33" t="s">
        <v>262</v>
      </c>
      <c r="G111" s="3">
        <v>713009</v>
      </c>
      <c r="H111" s="23">
        <v>1.27</v>
      </c>
      <c r="I111" s="265">
        <f t="shared" si="4"/>
        <v>905521.43</v>
      </c>
      <c r="J111" s="266">
        <f>202410.43+21312+21312+21312</f>
        <v>266346.43</v>
      </c>
      <c r="K111" s="265">
        <v>507092</v>
      </c>
      <c r="L111" s="267">
        <f>I111-K111</f>
        <v>398429.43000000005</v>
      </c>
      <c r="M111" s="271">
        <v>136</v>
      </c>
      <c r="N111" s="3">
        <v>1990</v>
      </c>
      <c r="O111" s="204">
        <v>34845</v>
      </c>
      <c r="P111" s="12" t="s">
        <v>434</v>
      </c>
      <c r="Q111" s="12" t="s">
        <v>434</v>
      </c>
      <c r="R111" s="17" t="s">
        <v>438</v>
      </c>
    </row>
    <row r="112" spans="1:18" ht="16.5" thickBot="1">
      <c r="A112" s="27"/>
      <c r="B112" s="27"/>
      <c r="C112" s="27"/>
      <c r="D112" s="43" t="s">
        <v>154</v>
      </c>
      <c r="E112" s="47"/>
      <c r="F112" s="42"/>
      <c r="G112" s="21">
        <f>SUM(G9:G111)</f>
        <v>13392319</v>
      </c>
      <c r="H112" s="22"/>
      <c r="I112" s="268">
        <f>SUM(I9:I111)</f>
        <v>16934152.70000001</v>
      </c>
      <c r="J112" s="269">
        <f>SUM(J9:J111)</f>
        <v>9466612.129999999</v>
      </c>
      <c r="K112" s="269">
        <f>SUM(K9:K111)</f>
        <v>13649375.700000007</v>
      </c>
      <c r="L112" s="270">
        <f>L9+L10+L12+L14+L16+L18+L20+L21+L23+L31+L98+L99+L100+L101+L102+L103+L104+L106+L107+L108+L110+L111</f>
        <v>3284777.0000000005</v>
      </c>
      <c r="M112" s="272">
        <f>SUM(M9:M111)</f>
        <v>10122</v>
      </c>
      <c r="N112" s="209"/>
      <c r="O112" s="27"/>
      <c r="P112" s="27"/>
      <c r="Q112" s="27"/>
      <c r="R112" s="27"/>
    </row>
    <row r="113" spans="13:17" ht="14.25">
      <c r="M113" s="273"/>
      <c r="P113" s="8"/>
      <c r="Q113" s="8"/>
    </row>
    <row r="116" ht="12.75">
      <c r="D116" t="s">
        <v>441</v>
      </c>
    </row>
    <row r="120" ht="13.5" thickBot="1">
      <c r="P120" s="14"/>
    </row>
    <row r="121" ht="12.75">
      <c r="P121" s="11"/>
    </row>
    <row r="122" ht="12.75">
      <c r="P122" s="11"/>
    </row>
    <row r="123" ht="12.75">
      <c r="P123" s="11"/>
    </row>
    <row r="124" ht="12.75">
      <c r="P124" s="11"/>
    </row>
    <row r="125" ht="12.75">
      <c r="P125" s="11"/>
    </row>
    <row r="126" ht="12.75">
      <c r="P126" s="11"/>
    </row>
    <row r="127" ht="12.75">
      <c r="P127" s="11"/>
    </row>
    <row r="128" ht="12.75">
      <c r="P128" s="11"/>
    </row>
    <row r="129" ht="12.75">
      <c r="P129" s="11"/>
    </row>
    <row r="130" ht="12.75">
      <c r="P130" s="11"/>
    </row>
    <row r="143" spans="9:16" ht="12.75">
      <c r="I143" s="244" t="s">
        <v>505</v>
      </c>
      <c r="J143" s="244"/>
      <c r="K143" s="244"/>
      <c r="L143" s="244"/>
      <c r="M143" s="244"/>
      <c r="N143" s="244"/>
      <c r="O143" s="244"/>
      <c r="P143" s="244"/>
    </row>
    <row r="145" spans="3:9" ht="12.75">
      <c r="C145" s="244" t="s">
        <v>510</v>
      </c>
      <c r="D145" s="244"/>
      <c r="E145" s="244"/>
      <c r="F145" s="244"/>
      <c r="G145" s="244"/>
      <c r="H145" s="244"/>
      <c r="I145" s="244"/>
    </row>
    <row r="147" ht="13.5" thickBot="1">
      <c r="P147" s="14"/>
    </row>
    <row r="148" spans="1:18" ht="15.75" thickBot="1">
      <c r="A148" s="24"/>
      <c r="B148" s="24"/>
      <c r="C148" s="198" t="s">
        <v>334</v>
      </c>
      <c r="D148" s="201" t="s">
        <v>421</v>
      </c>
      <c r="E148" s="7" t="s">
        <v>143</v>
      </c>
      <c r="F148" s="24" t="s">
        <v>145</v>
      </c>
      <c r="G148" s="8" t="s">
        <v>115</v>
      </c>
      <c r="H148" s="19" t="s">
        <v>147</v>
      </c>
      <c r="I148" s="9" t="s">
        <v>115</v>
      </c>
      <c r="J148" s="9" t="s">
        <v>283</v>
      </c>
      <c r="K148" s="145" t="s">
        <v>536</v>
      </c>
      <c r="L148" s="145" t="s">
        <v>285</v>
      </c>
      <c r="M148" s="203" t="s">
        <v>535</v>
      </c>
      <c r="N148" s="19" t="s">
        <v>534</v>
      </c>
      <c r="O148" s="9" t="s">
        <v>431</v>
      </c>
      <c r="P148" s="205" t="s">
        <v>431</v>
      </c>
      <c r="Q148" s="19" t="s">
        <v>435</v>
      </c>
      <c r="R148" s="19" t="s">
        <v>439</v>
      </c>
    </row>
    <row r="149" spans="1:18" ht="15">
      <c r="A149" s="23"/>
      <c r="B149" s="23"/>
      <c r="C149" s="199" t="s">
        <v>142</v>
      </c>
      <c r="D149" s="199"/>
      <c r="E149" s="10"/>
      <c r="F149" s="23" t="s">
        <v>144</v>
      </c>
      <c r="G149" s="11" t="s">
        <v>116</v>
      </c>
      <c r="H149" s="17" t="s">
        <v>148</v>
      </c>
      <c r="I149" s="12" t="s">
        <v>116</v>
      </c>
      <c r="J149" s="12" t="s">
        <v>284</v>
      </c>
      <c r="K149" s="146"/>
      <c r="L149" s="146" t="s">
        <v>286</v>
      </c>
      <c r="M149" s="202" t="s">
        <v>425</v>
      </c>
      <c r="N149" s="17" t="s">
        <v>423</v>
      </c>
      <c r="O149" s="12" t="s">
        <v>432</v>
      </c>
      <c r="P149" s="205" t="s">
        <v>433</v>
      </c>
      <c r="Q149" s="17" t="s">
        <v>436</v>
      </c>
      <c r="R149" s="17" t="s">
        <v>436</v>
      </c>
    </row>
    <row r="150" spans="1:18" ht="15.75" thickBot="1">
      <c r="A150" s="25"/>
      <c r="B150" s="25"/>
      <c r="C150" s="25"/>
      <c r="D150" s="200"/>
      <c r="E150" s="13"/>
      <c r="F150" s="25"/>
      <c r="G150" s="14" t="s">
        <v>146</v>
      </c>
      <c r="H150" s="18" t="s">
        <v>135</v>
      </c>
      <c r="I150" s="18" t="s">
        <v>149</v>
      </c>
      <c r="J150" s="15" t="s">
        <v>331</v>
      </c>
      <c r="K150" s="253">
        <v>0.025</v>
      </c>
      <c r="L150" s="147" t="s">
        <v>577</v>
      </c>
      <c r="M150" s="14"/>
      <c r="N150" s="18"/>
      <c r="O150" s="15"/>
      <c r="P150" s="14"/>
      <c r="Q150" s="18" t="s">
        <v>437</v>
      </c>
      <c r="R150" s="18"/>
    </row>
    <row r="151" spans="1:18" ht="13.5" thickBot="1">
      <c r="A151" s="19"/>
      <c r="B151" s="11"/>
      <c r="D151" s="17"/>
      <c r="E151" s="2"/>
      <c r="F151" s="36"/>
      <c r="H151" s="17"/>
      <c r="I151" s="54"/>
      <c r="J151" s="55"/>
      <c r="K151" s="206"/>
      <c r="L151" s="206"/>
      <c r="M151" s="9"/>
      <c r="N151" s="9"/>
      <c r="O151" s="9"/>
      <c r="P151" s="9"/>
      <c r="Q151" s="19"/>
      <c r="R151" s="9"/>
    </row>
    <row r="152" spans="1:18" ht="32.25" thickBot="1">
      <c r="A152" s="27">
        <v>1</v>
      </c>
      <c r="B152" s="27"/>
      <c r="C152" s="211" t="s">
        <v>472</v>
      </c>
      <c r="D152" s="211" t="s">
        <v>509</v>
      </c>
      <c r="E152" s="212"/>
      <c r="F152" s="213"/>
      <c r="G152" s="148"/>
      <c r="H152" s="170"/>
      <c r="I152" s="214">
        <v>119922.82</v>
      </c>
      <c r="J152" s="50"/>
      <c r="K152" s="222">
        <v>119922.82</v>
      </c>
      <c r="L152" s="245">
        <v>0</v>
      </c>
      <c r="M152" s="231">
        <v>76.5</v>
      </c>
      <c r="N152" s="209">
        <v>1978</v>
      </c>
      <c r="O152" s="15"/>
      <c r="P152" s="15"/>
      <c r="Q152" s="18"/>
      <c r="R152" s="15"/>
    </row>
    <row r="153" spans="1:18" ht="63.75" thickBot="1">
      <c r="A153" s="27">
        <v>2</v>
      </c>
      <c r="B153" s="27"/>
      <c r="C153" s="211" t="s">
        <v>468</v>
      </c>
      <c r="D153" s="211" t="s">
        <v>469</v>
      </c>
      <c r="E153" s="212"/>
      <c r="F153" s="213"/>
      <c r="G153" s="148"/>
      <c r="H153" s="170"/>
      <c r="I153" s="214">
        <v>73141.74</v>
      </c>
      <c r="J153" s="50"/>
      <c r="K153" s="222">
        <v>73141.74</v>
      </c>
      <c r="L153" s="246">
        <v>0</v>
      </c>
      <c r="M153" s="231">
        <v>265</v>
      </c>
      <c r="N153" s="209">
        <v>1965</v>
      </c>
      <c r="O153" s="15" t="s">
        <v>434</v>
      </c>
      <c r="P153" s="15" t="s">
        <v>434</v>
      </c>
      <c r="Q153" s="27" t="s">
        <v>470</v>
      </c>
      <c r="R153" s="15" t="s">
        <v>440</v>
      </c>
    </row>
    <row r="154" spans="1:18" ht="48" thickBot="1">
      <c r="A154" s="27">
        <v>3</v>
      </c>
      <c r="B154" s="27"/>
      <c r="C154" s="211" t="s">
        <v>472</v>
      </c>
      <c r="D154" s="211" t="s">
        <v>473</v>
      </c>
      <c r="E154" s="212"/>
      <c r="F154" s="213"/>
      <c r="G154" s="148"/>
      <c r="H154" s="170"/>
      <c r="I154" s="214">
        <v>11218.66</v>
      </c>
      <c r="J154" s="50"/>
      <c r="K154" s="222">
        <v>11218.66</v>
      </c>
      <c r="L154" s="245">
        <v>0</v>
      </c>
      <c r="M154" s="231">
        <v>67.46</v>
      </c>
      <c r="N154" s="209">
        <v>1972</v>
      </c>
      <c r="O154" s="15" t="s">
        <v>434</v>
      </c>
      <c r="P154" s="15" t="s">
        <v>434</v>
      </c>
      <c r="Q154" s="18" t="s">
        <v>470</v>
      </c>
      <c r="R154" s="15" t="s">
        <v>440</v>
      </c>
    </row>
    <row r="155" spans="1:18" ht="32.25" thickBot="1">
      <c r="A155" s="27">
        <v>4</v>
      </c>
      <c r="B155" s="27"/>
      <c r="C155" s="211" t="s">
        <v>474</v>
      </c>
      <c r="D155" s="211" t="s">
        <v>475</v>
      </c>
      <c r="E155" s="212"/>
      <c r="F155" s="213"/>
      <c r="G155" s="148"/>
      <c r="H155" s="170"/>
      <c r="I155" s="214">
        <v>12180.16</v>
      </c>
      <c r="J155" s="50"/>
      <c r="K155" s="222">
        <v>12180.16</v>
      </c>
      <c r="L155" s="245">
        <v>0</v>
      </c>
      <c r="M155" s="231">
        <v>240</v>
      </c>
      <c r="N155" s="209">
        <v>1965</v>
      </c>
      <c r="O155" s="15" t="s">
        <v>434</v>
      </c>
      <c r="P155" s="15" t="s">
        <v>434</v>
      </c>
      <c r="Q155" s="27" t="s">
        <v>470</v>
      </c>
      <c r="R155" s="15" t="s">
        <v>440</v>
      </c>
    </row>
    <row r="156" spans="1:18" ht="16.5" thickBot="1">
      <c r="A156" s="27">
        <v>5</v>
      </c>
      <c r="B156" s="27"/>
      <c r="C156" s="211" t="s">
        <v>580</v>
      </c>
      <c r="D156" s="211" t="s">
        <v>581</v>
      </c>
      <c r="E156" s="212"/>
      <c r="F156" s="213"/>
      <c r="G156" s="148"/>
      <c r="H156" s="170"/>
      <c r="I156" s="214">
        <v>91619.44</v>
      </c>
      <c r="J156" s="50"/>
      <c r="K156" s="222">
        <v>91619.44</v>
      </c>
      <c r="L156" s="245">
        <v>0</v>
      </c>
      <c r="M156" s="231">
        <v>525</v>
      </c>
      <c r="N156" s="209">
        <v>1979</v>
      </c>
      <c r="O156" s="15" t="s">
        <v>582</v>
      </c>
      <c r="P156" s="15" t="s">
        <v>582</v>
      </c>
      <c r="Q156" s="18" t="s">
        <v>470</v>
      </c>
      <c r="R156" s="15" t="s">
        <v>440</v>
      </c>
    </row>
    <row r="157" spans="1:18" ht="16.5" thickBot="1">
      <c r="A157" s="27"/>
      <c r="B157" s="27"/>
      <c r="C157" s="43" t="s">
        <v>155</v>
      </c>
      <c r="D157" s="43"/>
      <c r="E157" s="34"/>
      <c r="F157" s="35"/>
      <c r="G157" s="21" t="e">
        <f>SUM(#REF!)</f>
        <v>#REF!</v>
      </c>
      <c r="H157" s="22"/>
      <c r="I157" s="52">
        <f>I152+I153+I154+I155+I156</f>
        <v>308082.82</v>
      </c>
      <c r="J157" s="56" t="e">
        <f>SUM(#REF!)</f>
        <v>#REF!</v>
      </c>
      <c r="K157" s="208">
        <f>SUM(K152:K156)</f>
        <v>308082.82</v>
      </c>
      <c r="L157" s="250">
        <f>SUM(L152:L156)</f>
        <v>0</v>
      </c>
      <c r="M157" s="209"/>
      <c r="N157" s="209"/>
      <c r="O157" s="209"/>
      <c r="P157" s="209"/>
      <c r="Q157" s="210"/>
      <c r="R157" s="209"/>
    </row>
    <row r="158" spans="3:4" ht="15.75">
      <c r="C158" s="8"/>
      <c r="D158" s="247"/>
    </row>
    <row r="159" spans="3:11" ht="15.75">
      <c r="C159" s="11"/>
      <c r="D159" s="248"/>
      <c r="I159" s="243"/>
      <c r="J159" s="244"/>
      <c r="K159" s="243"/>
    </row>
    <row r="163" ht="12.75">
      <c r="D163" t="s">
        <v>442</v>
      </c>
    </row>
    <row r="189" ht="11.25" customHeight="1"/>
    <row r="192" spans="9:16" ht="12.75">
      <c r="I192" s="244" t="s">
        <v>505</v>
      </c>
      <c r="J192" s="244"/>
      <c r="K192" s="244"/>
      <c r="L192" s="244"/>
      <c r="M192" s="244"/>
      <c r="N192" s="244"/>
      <c r="O192" s="244"/>
      <c r="P192" s="244"/>
    </row>
    <row r="194" ht="12.75">
      <c r="C194" s="244" t="s">
        <v>537</v>
      </c>
    </row>
    <row r="195" ht="13.5" thickBot="1">
      <c r="P195" s="14"/>
    </row>
    <row r="196" spans="1:17" ht="15.75" thickBot="1">
      <c r="A196" s="24"/>
      <c r="B196" s="24"/>
      <c r="C196" s="198" t="s">
        <v>334</v>
      </c>
      <c r="D196" s="201" t="s">
        <v>421</v>
      </c>
      <c r="E196" s="7" t="s">
        <v>143</v>
      </c>
      <c r="F196" s="24" t="s">
        <v>145</v>
      </c>
      <c r="G196" s="8" t="s">
        <v>115</v>
      </c>
      <c r="H196" s="19" t="s">
        <v>147</v>
      </c>
      <c r="I196" s="9" t="s">
        <v>115</v>
      </c>
      <c r="J196" s="9" t="s">
        <v>283</v>
      </c>
      <c r="K196" s="145" t="s">
        <v>536</v>
      </c>
      <c r="L196" s="145" t="s">
        <v>285</v>
      </c>
      <c r="M196" s="203" t="s">
        <v>535</v>
      </c>
      <c r="N196" s="19" t="s">
        <v>534</v>
      </c>
      <c r="O196" s="9" t="s">
        <v>431</v>
      </c>
      <c r="P196" s="205" t="s">
        <v>431</v>
      </c>
      <c r="Q196" s="19" t="s">
        <v>435</v>
      </c>
    </row>
    <row r="197" spans="1:17" ht="15">
      <c r="A197" s="23"/>
      <c r="B197" s="23"/>
      <c r="C197" s="199" t="s">
        <v>142</v>
      </c>
      <c r="D197" s="199"/>
      <c r="E197" s="10"/>
      <c r="F197" s="23" t="s">
        <v>144</v>
      </c>
      <c r="G197" s="11" t="s">
        <v>116</v>
      </c>
      <c r="H197" s="17" t="s">
        <v>148</v>
      </c>
      <c r="I197" s="12" t="s">
        <v>116</v>
      </c>
      <c r="J197" s="12" t="s">
        <v>284</v>
      </c>
      <c r="K197" s="146"/>
      <c r="L197" s="146" t="s">
        <v>286</v>
      </c>
      <c r="M197" s="202" t="s">
        <v>425</v>
      </c>
      <c r="N197" s="17" t="s">
        <v>423</v>
      </c>
      <c r="O197" s="12" t="s">
        <v>432</v>
      </c>
      <c r="P197" s="205" t="s">
        <v>433</v>
      </c>
      <c r="Q197" s="17" t="s">
        <v>436</v>
      </c>
    </row>
    <row r="198" spans="1:17" ht="15.75" thickBot="1">
      <c r="A198" s="25"/>
      <c r="B198" s="25"/>
      <c r="C198" s="25"/>
      <c r="D198" s="200"/>
      <c r="E198" s="13"/>
      <c r="F198" s="25"/>
      <c r="G198" s="14" t="s">
        <v>146</v>
      </c>
      <c r="H198" s="18" t="s">
        <v>135</v>
      </c>
      <c r="I198" s="18" t="s">
        <v>149</v>
      </c>
      <c r="J198" s="15" t="s">
        <v>331</v>
      </c>
      <c r="K198" s="147"/>
      <c r="L198" s="147" t="s">
        <v>577</v>
      </c>
      <c r="M198" s="14"/>
      <c r="N198" s="18"/>
      <c r="O198" s="15"/>
      <c r="P198" s="14"/>
      <c r="Q198" s="18" t="s">
        <v>437</v>
      </c>
    </row>
    <row r="199" spans="1:17" ht="13.5" thickBot="1">
      <c r="A199" s="19"/>
      <c r="B199" s="11"/>
      <c r="D199" s="17"/>
      <c r="E199" s="2"/>
      <c r="F199" s="36"/>
      <c r="H199" s="17"/>
      <c r="I199" s="54"/>
      <c r="J199" s="55"/>
      <c r="K199" s="206"/>
      <c r="L199" s="206"/>
      <c r="M199" s="9"/>
      <c r="N199" s="9"/>
      <c r="O199" s="27"/>
      <c r="P199" s="209"/>
      <c r="Q199" s="27"/>
    </row>
    <row r="200" spans="1:17" ht="48" thickBot="1">
      <c r="A200" s="27">
        <v>1</v>
      </c>
      <c r="B200" s="27">
        <v>110103034</v>
      </c>
      <c r="C200" s="211" t="s">
        <v>444</v>
      </c>
      <c r="D200" s="211" t="s">
        <v>471</v>
      </c>
      <c r="E200" s="212"/>
      <c r="F200" s="213"/>
      <c r="G200" s="148"/>
      <c r="H200" s="170"/>
      <c r="I200" s="214">
        <v>168327.57</v>
      </c>
      <c r="J200" s="257"/>
      <c r="K200" s="258">
        <v>168327.57</v>
      </c>
      <c r="L200" s="246">
        <v>0</v>
      </c>
      <c r="M200" s="231">
        <v>0.6</v>
      </c>
      <c r="N200" s="209">
        <v>1972</v>
      </c>
      <c r="O200" s="15" t="s">
        <v>434</v>
      </c>
      <c r="P200" s="15" t="s">
        <v>434</v>
      </c>
      <c r="Q200" s="27" t="s">
        <v>470</v>
      </c>
    </row>
    <row r="201" spans="1:18" ht="63.75" thickBot="1">
      <c r="A201" s="27">
        <v>2</v>
      </c>
      <c r="B201" s="27">
        <v>110103035</v>
      </c>
      <c r="C201" s="211" t="s">
        <v>450</v>
      </c>
      <c r="D201" s="211" t="s">
        <v>501</v>
      </c>
      <c r="E201" s="212"/>
      <c r="F201" s="213"/>
      <c r="G201" s="148"/>
      <c r="H201" s="170"/>
      <c r="I201" s="214">
        <v>3973425</v>
      </c>
      <c r="J201" s="257"/>
      <c r="K201" s="258">
        <v>1156873.68</v>
      </c>
      <c r="L201" s="263">
        <f>I201-K201</f>
        <v>2816551.3200000003</v>
      </c>
      <c r="M201" s="231" t="s">
        <v>477</v>
      </c>
      <c r="N201" s="209">
        <v>1980</v>
      </c>
      <c r="O201" s="15" t="s">
        <v>478</v>
      </c>
      <c r="P201" s="15" t="s">
        <v>478</v>
      </c>
      <c r="Q201" s="18" t="s">
        <v>470</v>
      </c>
      <c r="R201" s="15"/>
    </row>
    <row r="202" spans="1:18" ht="48" thickBot="1">
      <c r="A202" s="27">
        <v>3</v>
      </c>
      <c r="B202" s="27">
        <v>110103036</v>
      </c>
      <c r="C202" s="211" t="s">
        <v>444</v>
      </c>
      <c r="D202" s="211" t="s">
        <v>476</v>
      </c>
      <c r="E202" s="212"/>
      <c r="F202" s="213"/>
      <c r="G202" s="148"/>
      <c r="H202" s="170"/>
      <c r="I202" s="214">
        <v>661034.16</v>
      </c>
      <c r="J202" s="257"/>
      <c r="K202" s="258">
        <v>158648.16</v>
      </c>
      <c r="L202" s="263">
        <f>I202-K202</f>
        <v>502386</v>
      </c>
      <c r="M202" s="231">
        <v>10</v>
      </c>
      <c r="N202" s="262">
        <v>42968</v>
      </c>
      <c r="O202" s="15"/>
      <c r="P202" s="15"/>
      <c r="Q202" s="18" t="s">
        <v>470</v>
      </c>
      <c r="R202" s="15"/>
    </row>
    <row r="203" spans="1:17" ht="48" thickBot="1">
      <c r="A203" s="209">
        <v>4</v>
      </c>
      <c r="B203" s="27">
        <v>110103036</v>
      </c>
      <c r="C203" s="211" t="s">
        <v>452</v>
      </c>
      <c r="D203" s="211" t="s">
        <v>501</v>
      </c>
      <c r="E203" s="212"/>
      <c r="F203" s="213"/>
      <c r="G203" s="148"/>
      <c r="H203" s="170"/>
      <c r="I203" s="214">
        <v>260524</v>
      </c>
      <c r="J203" s="257"/>
      <c r="K203" s="258">
        <v>260524</v>
      </c>
      <c r="L203" s="35">
        <v>0</v>
      </c>
      <c r="M203" s="251" t="s">
        <v>479</v>
      </c>
      <c r="N203" s="209">
        <v>1980</v>
      </c>
      <c r="O203" s="209" t="s">
        <v>480</v>
      </c>
      <c r="P203" s="15" t="s">
        <v>480</v>
      </c>
      <c r="Q203" s="27" t="s">
        <v>470</v>
      </c>
    </row>
    <row r="204" spans="1:17" ht="48" thickBot="1">
      <c r="A204" s="209">
        <v>5</v>
      </c>
      <c r="B204" s="27">
        <v>110103036</v>
      </c>
      <c r="C204" s="211" t="s">
        <v>452</v>
      </c>
      <c r="D204" s="211" t="s">
        <v>539</v>
      </c>
      <c r="E204" s="254"/>
      <c r="F204" s="254"/>
      <c r="G204" s="13"/>
      <c r="H204" s="13"/>
      <c r="I204" s="255">
        <v>19000</v>
      </c>
      <c r="J204" s="256"/>
      <c r="K204" s="259">
        <v>19000</v>
      </c>
      <c r="L204" s="35">
        <v>0</v>
      </c>
      <c r="M204" s="251" t="s">
        <v>540</v>
      </c>
      <c r="N204" s="15"/>
      <c r="O204" s="15"/>
      <c r="P204" s="15"/>
      <c r="Q204" s="15"/>
    </row>
    <row r="205" spans="1:17" ht="48" thickBot="1">
      <c r="A205" s="209">
        <v>6</v>
      </c>
      <c r="B205" s="27">
        <v>110103036</v>
      </c>
      <c r="C205" s="211" t="s">
        <v>452</v>
      </c>
      <c r="D205" s="211" t="s">
        <v>541</v>
      </c>
      <c r="E205" s="254"/>
      <c r="F205" s="254"/>
      <c r="G205" s="13"/>
      <c r="H205" s="13"/>
      <c r="I205" s="255">
        <v>13000</v>
      </c>
      <c r="J205" s="256"/>
      <c r="K205" s="259">
        <v>13000</v>
      </c>
      <c r="L205" s="35">
        <v>0</v>
      </c>
      <c r="M205" s="251" t="s">
        <v>542</v>
      </c>
      <c r="N205" s="15"/>
      <c r="O205" s="15"/>
      <c r="P205" s="15"/>
      <c r="Q205" s="15"/>
    </row>
    <row r="206" spans="1:17" ht="48" thickBot="1">
      <c r="A206" s="12">
        <v>7</v>
      </c>
      <c r="B206" s="27">
        <v>110103036</v>
      </c>
      <c r="C206" s="211" t="s">
        <v>452</v>
      </c>
      <c r="D206" s="211" t="s">
        <v>543</v>
      </c>
      <c r="E206" s="254"/>
      <c r="F206" s="254"/>
      <c r="G206" s="13"/>
      <c r="H206" s="13"/>
      <c r="I206" s="255">
        <v>12800</v>
      </c>
      <c r="J206" s="256"/>
      <c r="K206" s="259">
        <v>12800</v>
      </c>
      <c r="L206" s="35">
        <v>0</v>
      </c>
      <c r="M206" s="251" t="s">
        <v>542</v>
      </c>
      <c r="N206" s="15"/>
      <c r="O206" s="15"/>
      <c r="P206" s="15"/>
      <c r="Q206" s="15"/>
    </row>
    <row r="207" spans="1:17" ht="48" thickBot="1">
      <c r="A207" s="15">
        <v>8</v>
      </c>
      <c r="B207" s="27">
        <v>110103036</v>
      </c>
      <c r="C207" s="211" t="s">
        <v>452</v>
      </c>
      <c r="D207" s="211" t="s">
        <v>544</v>
      </c>
      <c r="E207" s="254"/>
      <c r="F207" s="254"/>
      <c r="G207" s="13"/>
      <c r="H207" s="13"/>
      <c r="I207" s="255">
        <v>26000</v>
      </c>
      <c r="J207" s="256"/>
      <c r="K207" s="259">
        <v>26000</v>
      </c>
      <c r="L207" s="35">
        <v>0</v>
      </c>
      <c r="M207" s="251" t="s">
        <v>542</v>
      </c>
      <c r="N207" s="15"/>
      <c r="O207" s="15"/>
      <c r="P207" s="15"/>
      <c r="Q207" s="15"/>
    </row>
    <row r="208" spans="1:17" ht="48" thickBot="1">
      <c r="A208" s="209">
        <v>9</v>
      </c>
      <c r="B208" s="27">
        <v>110103036</v>
      </c>
      <c r="C208" s="211" t="s">
        <v>452</v>
      </c>
      <c r="D208" s="211" t="s">
        <v>545</v>
      </c>
      <c r="E208" s="254"/>
      <c r="F208" s="254"/>
      <c r="G208" s="13"/>
      <c r="H208" s="13"/>
      <c r="I208" s="255">
        <v>25600</v>
      </c>
      <c r="J208" s="256"/>
      <c r="K208" s="259">
        <v>25600</v>
      </c>
      <c r="L208" s="35">
        <v>0</v>
      </c>
      <c r="M208" s="251" t="s">
        <v>542</v>
      </c>
      <c r="N208" s="15"/>
      <c r="O208" s="15"/>
      <c r="P208" s="15"/>
      <c r="Q208" s="15"/>
    </row>
    <row r="209" spans="1:17" ht="48" thickBot="1">
      <c r="A209" s="205">
        <v>10</v>
      </c>
      <c r="B209" s="27">
        <v>110103037</v>
      </c>
      <c r="C209" s="211" t="s">
        <v>452</v>
      </c>
      <c r="D209" s="211" t="s">
        <v>509</v>
      </c>
      <c r="E209" s="254"/>
      <c r="F209" s="254"/>
      <c r="G209" s="13"/>
      <c r="H209" s="13"/>
      <c r="I209" s="255">
        <v>26000</v>
      </c>
      <c r="J209" s="256"/>
      <c r="K209" s="259">
        <v>26000</v>
      </c>
      <c r="L209" s="35">
        <v>0</v>
      </c>
      <c r="M209" s="251" t="s">
        <v>542</v>
      </c>
      <c r="N209" s="15"/>
      <c r="O209" s="15"/>
      <c r="P209" s="15"/>
      <c r="Q209" s="15"/>
    </row>
    <row r="210" spans="1:17" ht="48" thickBot="1">
      <c r="A210" s="205">
        <v>11</v>
      </c>
      <c r="B210" s="27">
        <v>110103038</v>
      </c>
      <c r="C210" s="211" t="s">
        <v>452</v>
      </c>
      <c r="D210" s="211" t="s">
        <v>546</v>
      </c>
      <c r="E210" s="254"/>
      <c r="F210" s="254"/>
      <c r="G210" s="13"/>
      <c r="H210" s="13"/>
      <c r="I210" s="255">
        <v>19200</v>
      </c>
      <c r="J210" s="256"/>
      <c r="K210" s="259">
        <v>19200</v>
      </c>
      <c r="L210" s="35">
        <v>0</v>
      </c>
      <c r="M210" s="251" t="s">
        <v>540</v>
      </c>
      <c r="N210" s="15"/>
      <c r="O210" s="15"/>
      <c r="P210" s="15"/>
      <c r="Q210" s="15"/>
    </row>
    <row r="211" spans="1:17" ht="48" thickBot="1">
      <c r="A211" s="205">
        <v>12</v>
      </c>
      <c r="B211" s="27">
        <v>110103039</v>
      </c>
      <c r="C211" s="211" t="s">
        <v>452</v>
      </c>
      <c r="D211" s="211" t="s">
        <v>471</v>
      </c>
      <c r="E211" s="254"/>
      <c r="F211" s="254"/>
      <c r="G211" s="13"/>
      <c r="H211" s="13"/>
      <c r="I211" s="255">
        <v>35100</v>
      </c>
      <c r="J211" s="256"/>
      <c r="K211" s="259">
        <v>35100</v>
      </c>
      <c r="L211" s="35">
        <v>0</v>
      </c>
      <c r="M211" s="251" t="s">
        <v>547</v>
      </c>
      <c r="N211" s="15"/>
      <c r="O211" s="15"/>
      <c r="P211" s="15"/>
      <c r="Q211" s="15"/>
    </row>
    <row r="212" spans="1:17" ht="48" thickBot="1">
      <c r="A212" s="205">
        <v>13</v>
      </c>
      <c r="B212" s="27">
        <v>110103040</v>
      </c>
      <c r="C212" s="211" t="s">
        <v>452</v>
      </c>
      <c r="D212" s="211" t="s">
        <v>548</v>
      </c>
      <c r="E212" s="254"/>
      <c r="F212" s="254"/>
      <c r="G212" s="13"/>
      <c r="H212" s="13"/>
      <c r="I212" s="255">
        <v>16000</v>
      </c>
      <c r="J212" s="256"/>
      <c r="K212" s="259">
        <v>16000</v>
      </c>
      <c r="L212" s="35">
        <v>0</v>
      </c>
      <c r="M212" s="251" t="s">
        <v>549</v>
      </c>
      <c r="N212" s="15"/>
      <c r="O212" s="15"/>
      <c r="P212" s="15"/>
      <c r="Q212" s="15"/>
    </row>
    <row r="213" spans="1:17" ht="48" thickBot="1">
      <c r="A213" s="205">
        <v>14</v>
      </c>
      <c r="B213" s="27">
        <v>110103041</v>
      </c>
      <c r="C213" s="211" t="s">
        <v>452</v>
      </c>
      <c r="D213" s="211" t="s">
        <v>550</v>
      </c>
      <c r="E213" s="254"/>
      <c r="F213" s="254"/>
      <c r="G213" s="13"/>
      <c r="H213" s="13"/>
      <c r="I213" s="255">
        <v>35100</v>
      </c>
      <c r="J213" s="256"/>
      <c r="K213" s="259">
        <v>35100</v>
      </c>
      <c r="L213" s="35">
        <v>0</v>
      </c>
      <c r="M213" s="251" t="s">
        <v>547</v>
      </c>
      <c r="N213" s="15"/>
      <c r="O213" s="15"/>
      <c r="P213" s="15"/>
      <c r="Q213" s="15"/>
    </row>
    <row r="214" spans="1:17" ht="48" thickBot="1">
      <c r="A214" s="205">
        <v>15</v>
      </c>
      <c r="B214" s="27">
        <v>110103042</v>
      </c>
      <c r="C214" s="211" t="s">
        <v>452</v>
      </c>
      <c r="D214" s="211" t="s">
        <v>551</v>
      </c>
      <c r="E214" s="254"/>
      <c r="F214" s="254"/>
      <c r="G214" s="13"/>
      <c r="H214" s="13"/>
      <c r="I214" s="255">
        <v>25600</v>
      </c>
      <c r="J214" s="256"/>
      <c r="K214" s="259">
        <v>25600</v>
      </c>
      <c r="L214" s="35">
        <v>0</v>
      </c>
      <c r="M214" s="251" t="s">
        <v>542</v>
      </c>
      <c r="N214" s="15"/>
      <c r="O214" s="15"/>
      <c r="P214" s="15"/>
      <c r="Q214" s="15"/>
    </row>
    <row r="215" spans="1:17" ht="48" thickBot="1">
      <c r="A215" s="205">
        <v>16</v>
      </c>
      <c r="B215" s="27">
        <v>110103043</v>
      </c>
      <c r="C215" s="211" t="s">
        <v>452</v>
      </c>
      <c r="D215" s="211" t="s">
        <v>552</v>
      </c>
      <c r="E215" s="254"/>
      <c r="F215" s="254"/>
      <c r="G215" s="13"/>
      <c r="H215" s="13"/>
      <c r="I215" s="255">
        <v>700</v>
      </c>
      <c r="J215" s="256"/>
      <c r="K215" s="259">
        <v>700</v>
      </c>
      <c r="L215" s="35">
        <v>0</v>
      </c>
      <c r="M215" s="251" t="s">
        <v>553</v>
      </c>
      <c r="N215" s="15"/>
      <c r="O215" s="15"/>
      <c r="P215" s="15"/>
      <c r="Q215" s="15"/>
    </row>
    <row r="216" spans="1:17" ht="48" thickBot="1">
      <c r="A216" s="205">
        <v>17</v>
      </c>
      <c r="B216" s="27">
        <v>110103044</v>
      </c>
      <c r="C216" s="211" t="s">
        <v>452</v>
      </c>
      <c r="D216" s="211" t="s">
        <v>476</v>
      </c>
      <c r="E216" s="254"/>
      <c r="F216" s="254"/>
      <c r="G216" s="13"/>
      <c r="H216" s="13"/>
      <c r="I216" s="255">
        <v>38300</v>
      </c>
      <c r="J216" s="256"/>
      <c r="K216" s="259">
        <v>38300</v>
      </c>
      <c r="L216" s="35">
        <v>0</v>
      </c>
      <c r="M216" s="251" t="s">
        <v>554</v>
      </c>
      <c r="N216" s="15"/>
      <c r="O216" s="15"/>
      <c r="P216" s="15"/>
      <c r="Q216" s="15"/>
    </row>
    <row r="217" spans="1:17" ht="48" thickBot="1">
      <c r="A217" s="205">
        <v>18</v>
      </c>
      <c r="B217" s="27">
        <v>110103045</v>
      </c>
      <c r="C217" s="211" t="s">
        <v>452</v>
      </c>
      <c r="D217" s="211" t="s">
        <v>555</v>
      </c>
      <c r="E217" s="254"/>
      <c r="F217" s="254"/>
      <c r="G217" s="13"/>
      <c r="H217" s="13"/>
      <c r="I217" s="255">
        <v>16000</v>
      </c>
      <c r="J217" s="256"/>
      <c r="K217" s="259">
        <v>16000</v>
      </c>
      <c r="L217" s="35">
        <v>0</v>
      </c>
      <c r="M217" s="251" t="s">
        <v>549</v>
      </c>
      <c r="N217" s="15"/>
      <c r="O217" s="15"/>
      <c r="P217" s="15"/>
      <c r="Q217" s="15"/>
    </row>
    <row r="218" spans="1:17" ht="48" thickBot="1">
      <c r="A218" s="205">
        <v>19</v>
      </c>
      <c r="B218" s="27">
        <v>110103046</v>
      </c>
      <c r="C218" s="211" t="s">
        <v>452</v>
      </c>
      <c r="D218" s="211" t="s">
        <v>556</v>
      </c>
      <c r="E218" s="254"/>
      <c r="F218" s="254"/>
      <c r="G218" s="13"/>
      <c r="H218" s="13"/>
      <c r="I218" s="255">
        <v>3200</v>
      </c>
      <c r="J218" s="256"/>
      <c r="K218" s="259">
        <v>3200</v>
      </c>
      <c r="L218" s="35">
        <v>0</v>
      </c>
      <c r="M218" s="251" t="s">
        <v>557</v>
      </c>
      <c r="N218" s="15"/>
      <c r="O218" s="15"/>
      <c r="P218" s="15"/>
      <c r="Q218" s="15"/>
    </row>
    <row r="219" spans="1:17" ht="48" thickBot="1">
      <c r="A219" s="205">
        <v>20</v>
      </c>
      <c r="B219" s="27">
        <v>110103047</v>
      </c>
      <c r="C219" s="211" t="s">
        <v>452</v>
      </c>
      <c r="D219" s="211" t="s">
        <v>558</v>
      </c>
      <c r="E219" s="254"/>
      <c r="F219" s="254"/>
      <c r="G219" s="13"/>
      <c r="H219" s="13"/>
      <c r="I219" s="255">
        <v>900</v>
      </c>
      <c r="J219" s="256"/>
      <c r="K219" s="258">
        <v>900</v>
      </c>
      <c r="L219" s="35">
        <v>0</v>
      </c>
      <c r="M219" s="251" t="s">
        <v>559</v>
      </c>
      <c r="N219" s="15"/>
      <c r="O219" s="15"/>
      <c r="P219" s="15"/>
      <c r="Q219" s="15"/>
    </row>
    <row r="220" spans="1:17" ht="48" thickBot="1">
      <c r="A220" s="205">
        <v>21</v>
      </c>
      <c r="B220" s="27">
        <v>110103048</v>
      </c>
      <c r="C220" s="211" t="s">
        <v>452</v>
      </c>
      <c r="D220" s="211" t="s">
        <v>560</v>
      </c>
      <c r="E220" s="254"/>
      <c r="F220" s="254"/>
      <c r="G220" s="13"/>
      <c r="H220" s="13"/>
      <c r="I220" s="255">
        <v>127800</v>
      </c>
      <c r="J220" s="256"/>
      <c r="K220" s="51">
        <v>127800</v>
      </c>
      <c r="L220" s="35">
        <v>0</v>
      </c>
      <c r="M220" s="251" t="s">
        <v>561</v>
      </c>
      <c r="N220" s="15"/>
      <c r="O220" s="15"/>
      <c r="P220" s="15"/>
      <c r="Q220" s="15"/>
    </row>
    <row r="221" spans="1:17" ht="16.5" thickBot="1">
      <c r="A221" s="12"/>
      <c r="B221" s="27"/>
      <c r="C221" s="27"/>
      <c r="D221" s="22" t="s">
        <v>278</v>
      </c>
      <c r="E221" s="14"/>
      <c r="F221" s="14"/>
      <c r="G221" s="14"/>
      <c r="H221" s="14"/>
      <c r="I221" s="260">
        <f>I200+I201+I202+I203+I204+I205+I206+I207+I208+I209+I210+I211+I212+I213+I214+I215+I216+I217+I218+I219+I220</f>
        <v>5503610.7299999995</v>
      </c>
      <c r="J221" s="14"/>
      <c r="K221" s="261">
        <f>K200+K201+K202+K203+K204+K205+K206+K207+K208+K209+K210+K211+K212+K213+K214+K215+K216+K217+K218+K219+K220</f>
        <v>2184673.41</v>
      </c>
      <c r="L221" s="237">
        <f>L200+L201+L202+L203+L204+L205+L206+L207+L208+L209+L210+L211+L212+L218+L219+L220</f>
        <v>3318937.3200000003</v>
      </c>
      <c r="M221" s="264">
        <v>18.45</v>
      </c>
      <c r="N221" s="15"/>
      <c r="O221" s="15"/>
      <c r="P221" s="209"/>
      <c r="Q221" s="15"/>
    </row>
    <row r="222" spans="1:17" ht="13.5" thickBot="1">
      <c r="A222" s="12"/>
      <c r="B222" s="27"/>
      <c r="C222" s="27"/>
      <c r="D222" s="27"/>
      <c r="E222" s="184"/>
      <c r="F222" s="184"/>
      <c r="G222" s="184"/>
      <c r="H222" s="184"/>
      <c r="I222" s="184"/>
      <c r="J222" s="184"/>
      <c r="K222" s="27"/>
      <c r="L222" s="209"/>
      <c r="M222" s="209"/>
      <c r="N222" s="209"/>
      <c r="O222" s="209"/>
      <c r="P222" s="209"/>
      <c r="Q222" s="209"/>
    </row>
    <row r="227" ht="12.75">
      <c r="D227" t="s">
        <v>442</v>
      </c>
    </row>
  </sheetData>
  <printOptions/>
  <pageMargins left="0.75" right="0.75" top="1" bottom="1" header="0.5" footer="0.5"/>
  <pageSetup orientation="landscape" paperSize="9" scale="96" r:id="rId1"/>
  <rowBreaks count="1" manualBreakCount="1">
    <brk id="142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2018-11-16T17:53:31Z</cp:lastPrinted>
  <dcterms:created xsi:type="dcterms:W3CDTF">2007-05-17T06:34:41Z</dcterms:created>
  <dcterms:modified xsi:type="dcterms:W3CDTF">2018-12-08T02:40:12Z</dcterms:modified>
  <cp:category/>
  <cp:version/>
  <cp:contentType/>
  <cp:contentStatus/>
</cp:coreProperties>
</file>